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NFORMACIÓN PÚBLICA\Ejecución Presupuestaria\"/>
    </mc:Choice>
  </mc:AlternateContent>
  <bookViews>
    <workbookView xWindow="0" yWindow="0" windowWidth="15600" windowHeight="7605" tabRatio="748" firstSheet="2" activeTab="11"/>
  </bookViews>
  <sheets>
    <sheet name="ENERO" sheetId="41" r:id="rId1"/>
    <sheet name="FEBRERO" sheetId="42" r:id="rId2"/>
    <sheet name="MARZO" sheetId="43" r:id="rId3"/>
    <sheet name="ABRIL" sheetId="44" r:id="rId4"/>
    <sheet name="MAYO" sheetId="45" r:id="rId5"/>
    <sheet name="JUNIO " sheetId="47" r:id="rId6"/>
    <sheet name="JULIO" sheetId="49" r:id="rId7"/>
    <sheet name="AGOSTO" sheetId="50" r:id="rId8"/>
    <sheet name="SEPTIEMBRE" sheetId="51" r:id="rId9"/>
    <sheet name="OCTUBRE" sheetId="52" r:id="rId10"/>
    <sheet name="NOVIEMBRE" sheetId="53" r:id="rId11"/>
    <sheet name="DICIEMBRE" sheetId="54" r:id="rId12"/>
  </sheets>
  <definedNames>
    <definedName name="_xlnm.Print_Area" localSheetId="3">ABRIL!$A$1:$K$137</definedName>
    <definedName name="_xlnm.Print_Area" localSheetId="7">AGOSTO!$A$1:$K$145</definedName>
    <definedName name="_xlnm.Print_Area" localSheetId="11">DICIEMBRE!$A$1:$L$140</definedName>
    <definedName name="_xlnm.Print_Area" localSheetId="0">ENERO!$A$1:$K$140</definedName>
    <definedName name="_xlnm.Print_Area" localSheetId="1">FEBRERO!$A$1:$K$137</definedName>
    <definedName name="_xlnm.Print_Area" localSheetId="6">JULIO!$A$1:$K$147</definedName>
    <definedName name="_xlnm.Print_Area" localSheetId="5">'JUNIO '!$A$1:$K$147</definedName>
    <definedName name="_xlnm.Print_Area" localSheetId="2">MARZO!$A$1:$K$137</definedName>
    <definedName name="_xlnm.Print_Area" localSheetId="4">MAYO!$A$1:$K$147</definedName>
    <definedName name="_xlnm.Print_Area" localSheetId="10">NOVIEMBRE!$A$1:$L$140</definedName>
    <definedName name="_xlnm.Print_Area" localSheetId="9">OCTUBRE!$A$1:$L$140</definedName>
    <definedName name="_xlnm.Print_Area" localSheetId="8">SEPTIEMBRE!$A$1:$K$145</definedName>
    <definedName name="_xlnm.Print_Titles" localSheetId="3">ABRIL!$6:$7</definedName>
    <definedName name="_xlnm.Print_Titles" localSheetId="7">AGOSTO!$6:$7</definedName>
    <definedName name="_xlnm.Print_Titles" localSheetId="11">DICIEMBRE!$6:$7</definedName>
    <definedName name="_xlnm.Print_Titles" localSheetId="0">ENERO!$6:$7</definedName>
    <definedName name="_xlnm.Print_Titles" localSheetId="1">FEBRERO!$6:$7</definedName>
    <definedName name="_xlnm.Print_Titles" localSheetId="6">JULIO!$6:$7</definedName>
    <definedName name="_xlnm.Print_Titles" localSheetId="5">'JUNIO '!$6:$7</definedName>
    <definedName name="_xlnm.Print_Titles" localSheetId="2">MARZO!$6:$7</definedName>
    <definedName name="_xlnm.Print_Titles" localSheetId="4">MAYO!$6:$7</definedName>
    <definedName name="_xlnm.Print_Titles" localSheetId="10">NOVIEMBRE!$6:$7</definedName>
    <definedName name="_xlnm.Print_Titles" localSheetId="9">OCTUBRE!$6:$7</definedName>
    <definedName name="_xlnm.Print_Titles" localSheetId="8">SEPTIEMBRE!$6:$7</definedName>
  </definedNames>
  <calcPr calcId="152511"/>
</workbook>
</file>

<file path=xl/calcChain.xml><?xml version="1.0" encoding="utf-8"?>
<calcChain xmlns="http://schemas.openxmlformats.org/spreadsheetml/2006/main">
  <c r="K13" i="53" l="1"/>
  <c r="K13" i="54" l="1"/>
  <c r="J25" i="54"/>
  <c r="L112" i="54" l="1"/>
  <c r="L111" i="54"/>
  <c r="L110" i="54"/>
  <c r="L109" i="54"/>
  <c r="L108" i="54"/>
  <c r="L105" i="54"/>
  <c r="L104" i="54"/>
  <c r="L103" i="54"/>
  <c r="L102" i="54"/>
  <c r="L101" i="54"/>
  <c r="L98" i="54"/>
  <c r="L97" i="54"/>
  <c r="L96" i="54"/>
  <c r="L95" i="54"/>
  <c r="L94" i="54"/>
  <c r="L93" i="54"/>
  <c r="L92" i="54"/>
  <c r="L91" i="54"/>
  <c r="L90" i="54"/>
  <c r="L89" i="54"/>
  <c r="L88" i="54"/>
  <c r="L87" i="54"/>
  <c r="L86" i="54"/>
  <c r="L85" i="54"/>
  <c r="L84" i="54"/>
  <c r="L83" i="54"/>
  <c r="L82" i="54"/>
  <c r="L81" i="54"/>
  <c r="L80" i="54"/>
  <c r="L79" i="54"/>
  <c r="L78" i="54"/>
  <c r="L77" i="54"/>
  <c r="L76" i="54"/>
  <c r="L75" i="54"/>
  <c r="L74" i="54"/>
  <c r="L73" i="54"/>
  <c r="L70" i="54"/>
  <c r="L69" i="54"/>
  <c r="L68" i="54"/>
  <c r="L67" i="54"/>
  <c r="L66" i="54"/>
  <c r="L65" i="54"/>
  <c r="L64" i="54"/>
  <c r="L63" i="54"/>
  <c r="L62" i="54"/>
  <c r="L61" i="54"/>
  <c r="L60" i="54"/>
  <c r="L59" i="54"/>
  <c r="L58" i="54"/>
  <c r="L57" i="54"/>
  <c r="L56" i="54"/>
  <c r="L55" i="54"/>
  <c r="L54" i="54"/>
  <c r="L53" i="54"/>
  <c r="L52" i="54"/>
  <c r="L51" i="54"/>
  <c r="L50" i="54"/>
  <c r="L49" i="54"/>
  <c r="L48" i="54"/>
  <c r="L47" i="54"/>
  <c r="L46" i="54"/>
  <c r="L45" i="54"/>
  <c r="L44" i="54"/>
  <c r="L43" i="54"/>
  <c r="L42" i="54"/>
  <c r="L41" i="54"/>
  <c r="L40" i="54"/>
  <c r="L39" i="54"/>
  <c r="L38" i="54"/>
  <c r="L35" i="54"/>
  <c r="L34" i="54"/>
  <c r="L33" i="54"/>
  <c r="L32" i="54"/>
  <c r="L31" i="54"/>
  <c r="L30" i="54"/>
  <c r="L29" i="54"/>
  <c r="L28" i="54"/>
  <c r="L27" i="54"/>
  <c r="L26" i="54"/>
  <c r="L25" i="54"/>
  <c r="K14" i="54"/>
  <c r="K11" i="54"/>
  <c r="K12" i="54"/>
  <c r="K114" i="54" l="1"/>
  <c r="M114" i="54" s="1"/>
  <c r="I114" i="54"/>
  <c r="H114" i="54"/>
  <c r="G114" i="54"/>
  <c r="F114" i="54"/>
  <c r="E114" i="54"/>
  <c r="D114" i="54"/>
  <c r="C114" i="54"/>
  <c r="J112" i="54"/>
  <c r="J111" i="54"/>
  <c r="J110" i="54"/>
  <c r="J109" i="54"/>
  <c r="J108" i="54"/>
  <c r="J105" i="54"/>
  <c r="J104" i="54"/>
  <c r="J103" i="54"/>
  <c r="J102" i="54"/>
  <c r="J101" i="54"/>
  <c r="J98" i="54"/>
  <c r="J97" i="54"/>
  <c r="J96" i="54"/>
  <c r="J95" i="54"/>
  <c r="J94" i="54"/>
  <c r="J93" i="54"/>
  <c r="J92" i="54"/>
  <c r="J91" i="54"/>
  <c r="J90" i="54"/>
  <c r="J89" i="54"/>
  <c r="J88" i="54"/>
  <c r="J87" i="54"/>
  <c r="J86" i="54"/>
  <c r="J85" i="54"/>
  <c r="J84" i="54"/>
  <c r="J83" i="54"/>
  <c r="J82" i="54"/>
  <c r="J81" i="54"/>
  <c r="J80" i="54"/>
  <c r="J79" i="54"/>
  <c r="J78" i="54"/>
  <c r="J77" i="54"/>
  <c r="J76" i="54"/>
  <c r="J75" i="54"/>
  <c r="J74" i="54"/>
  <c r="J73" i="54"/>
  <c r="J70" i="54"/>
  <c r="J69" i="54"/>
  <c r="J68" i="54"/>
  <c r="J67" i="54"/>
  <c r="J66" i="54"/>
  <c r="J65" i="54"/>
  <c r="J64" i="54"/>
  <c r="J63" i="54"/>
  <c r="J62" i="54"/>
  <c r="J61" i="54"/>
  <c r="J60" i="54"/>
  <c r="J59" i="54"/>
  <c r="J58" i="54"/>
  <c r="J57" i="54"/>
  <c r="J56" i="54"/>
  <c r="J55" i="54"/>
  <c r="J54" i="54"/>
  <c r="J53" i="54"/>
  <c r="J52" i="54"/>
  <c r="J51" i="54"/>
  <c r="J50" i="54"/>
  <c r="J49" i="54"/>
  <c r="J48" i="54"/>
  <c r="J47" i="54"/>
  <c r="J46" i="54"/>
  <c r="J45" i="54"/>
  <c r="J44" i="54"/>
  <c r="J43" i="54"/>
  <c r="J42" i="54"/>
  <c r="J41" i="54"/>
  <c r="J40" i="54"/>
  <c r="J39" i="54"/>
  <c r="J38" i="54"/>
  <c r="J35" i="54"/>
  <c r="J34" i="54"/>
  <c r="J33" i="54"/>
  <c r="J32" i="54"/>
  <c r="J31" i="54"/>
  <c r="J30" i="54"/>
  <c r="J29" i="54"/>
  <c r="J28" i="54"/>
  <c r="J27" i="54"/>
  <c r="J26" i="54"/>
  <c r="J24" i="54"/>
  <c r="L24" i="54" s="1"/>
  <c r="I19" i="54"/>
  <c r="G19" i="54"/>
  <c r="F19" i="54"/>
  <c r="E19" i="54"/>
  <c r="D19" i="54"/>
  <c r="L18" i="54"/>
  <c r="J18" i="54"/>
  <c r="J17" i="54"/>
  <c r="L17" i="54" s="1"/>
  <c r="J16" i="54"/>
  <c r="L16" i="54" s="1"/>
  <c r="J15" i="54"/>
  <c r="L15" i="54" s="1"/>
  <c r="J14" i="54"/>
  <c r="L14" i="54" s="1"/>
  <c r="J13" i="54"/>
  <c r="L13" i="54" s="1"/>
  <c r="L12" i="54"/>
  <c r="J12" i="54"/>
  <c r="K19" i="54"/>
  <c r="C11" i="54"/>
  <c r="J11" i="54" s="1"/>
  <c r="J10" i="54"/>
  <c r="L10" i="54" s="1"/>
  <c r="M49" i="54" l="1"/>
  <c r="M32" i="54"/>
  <c r="M39" i="54"/>
  <c r="M79" i="54"/>
  <c r="M27" i="54"/>
  <c r="M38" i="54"/>
  <c r="M47" i="54"/>
  <c r="M53" i="54"/>
  <c r="M90" i="54"/>
  <c r="M34" i="54"/>
  <c r="M45" i="54"/>
  <c r="M61" i="54"/>
  <c r="M81" i="54"/>
  <c r="M88" i="54"/>
  <c r="M65" i="54"/>
  <c r="M69" i="54"/>
  <c r="M86" i="54"/>
  <c r="M101" i="54"/>
  <c r="M104" i="54"/>
  <c r="M26" i="54"/>
  <c r="M28" i="54"/>
  <c r="M30" i="54"/>
  <c r="M58" i="54"/>
  <c r="M63" i="54"/>
  <c r="M76" i="54"/>
  <c r="M25" i="54"/>
  <c r="M35" i="54"/>
  <c r="M41" i="54"/>
  <c r="M48" i="54"/>
  <c r="M50" i="54"/>
  <c r="M52" i="54"/>
  <c r="M54" i="54"/>
  <c r="M56" i="54"/>
  <c r="M60" i="54"/>
  <c r="M62" i="54"/>
  <c r="M68" i="54"/>
  <c r="M70" i="54"/>
  <c r="M74" i="54"/>
  <c r="M83" i="54"/>
  <c r="M92" i="54"/>
  <c r="M94" i="54"/>
  <c r="M111" i="54"/>
  <c r="M78" i="54"/>
  <c r="M80" i="54"/>
  <c r="M87" i="54"/>
  <c r="M24" i="54"/>
  <c r="M29" i="54"/>
  <c r="M31" i="54"/>
  <c r="M33" i="54"/>
  <c r="M40" i="54"/>
  <c r="M42" i="54"/>
  <c r="M44" i="54"/>
  <c r="M46" i="54"/>
  <c r="M55" i="54"/>
  <c r="M57" i="54"/>
  <c r="M64" i="54"/>
  <c r="M66" i="54"/>
  <c r="M73" i="54"/>
  <c r="M75" i="54"/>
  <c r="M82" i="54"/>
  <c r="M84" i="54"/>
  <c r="M89" i="54"/>
  <c r="M91" i="54"/>
  <c r="M95" i="54"/>
  <c r="M98" i="54"/>
  <c r="M105" i="54"/>
  <c r="M110" i="54"/>
  <c r="M43" i="54"/>
  <c r="M51" i="54"/>
  <c r="M59" i="54"/>
  <c r="M67" i="54"/>
  <c r="M77" i="54"/>
  <c r="M85" i="54"/>
  <c r="M93" i="54"/>
  <c r="L11" i="54"/>
  <c r="L19" i="54" s="1"/>
  <c r="J19" i="54"/>
  <c r="M18" i="54"/>
  <c r="M19" i="54" s="1"/>
  <c r="M12" i="54"/>
  <c r="M10" i="54"/>
  <c r="M11" i="54"/>
  <c r="C122" i="54"/>
  <c r="M14" i="54"/>
  <c r="M13" i="54"/>
  <c r="L114" i="54"/>
  <c r="C19" i="54"/>
  <c r="M96" i="54"/>
  <c r="M102" i="54"/>
  <c r="M108" i="54"/>
  <c r="M112" i="54"/>
  <c r="J114" i="54"/>
  <c r="C123" i="54"/>
  <c r="M97" i="54"/>
  <c r="M103" i="54"/>
  <c r="M109" i="54"/>
  <c r="K14" i="53"/>
  <c r="K12" i="53"/>
  <c r="K11" i="53"/>
  <c r="K114" i="53"/>
  <c r="M110" i="53" s="1"/>
  <c r="I114" i="53"/>
  <c r="H114" i="53"/>
  <c r="G114" i="53"/>
  <c r="F114" i="53"/>
  <c r="E114" i="53"/>
  <c r="D114" i="53"/>
  <c r="C114" i="53"/>
  <c r="L112" i="53"/>
  <c r="J112" i="53"/>
  <c r="J111" i="53"/>
  <c r="L111" i="53" s="1"/>
  <c r="L110" i="53"/>
  <c r="J110" i="53"/>
  <c r="J109" i="53"/>
  <c r="L109" i="53" s="1"/>
  <c r="L108" i="53"/>
  <c r="J108" i="53"/>
  <c r="J105" i="53"/>
  <c r="L105" i="53" s="1"/>
  <c r="L104" i="53"/>
  <c r="J104" i="53"/>
  <c r="J103" i="53"/>
  <c r="L103" i="53" s="1"/>
  <c r="L102" i="53"/>
  <c r="J102" i="53"/>
  <c r="J101" i="53"/>
  <c r="L101" i="53" s="1"/>
  <c r="L98" i="53"/>
  <c r="J98" i="53"/>
  <c r="J97" i="53"/>
  <c r="L97" i="53" s="1"/>
  <c r="L96" i="53"/>
  <c r="J96" i="53"/>
  <c r="J95" i="53"/>
  <c r="L95" i="53" s="1"/>
  <c r="L94" i="53"/>
  <c r="J94" i="53"/>
  <c r="J93" i="53"/>
  <c r="L93" i="53" s="1"/>
  <c r="L92" i="53"/>
  <c r="J92" i="53"/>
  <c r="J91" i="53"/>
  <c r="L91" i="53" s="1"/>
  <c r="L90" i="53"/>
  <c r="J90" i="53"/>
  <c r="J89" i="53"/>
  <c r="L89" i="53" s="1"/>
  <c r="L88" i="53"/>
  <c r="J88" i="53"/>
  <c r="J87" i="53"/>
  <c r="L87" i="53" s="1"/>
  <c r="L86" i="53"/>
  <c r="J86" i="53"/>
  <c r="J85" i="53"/>
  <c r="L85" i="53" s="1"/>
  <c r="L84" i="53"/>
  <c r="J84" i="53"/>
  <c r="J83" i="53"/>
  <c r="L83" i="53" s="1"/>
  <c r="L82" i="53"/>
  <c r="J82" i="53"/>
  <c r="J81" i="53"/>
  <c r="L81" i="53" s="1"/>
  <c r="L80" i="53"/>
  <c r="J80" i="53"/>
  <c r="J79" i="53"/>
  <c r="L79" i="53" s="1"/>
  <c r="L78" i="53"/>
  <c r="J78" i="53"/>
  <c r="J77" i="53"/>
  <c r="L77" i="53" s="1"/>
  <c r="L76" i="53"/>
  <c r="J76" i="53"/>
  <c r="J75" i="53"/>
  <c r="L75" i="53" s="1"/>
  <c r="L74" i="53"/>
  <c r="J74" i="53"/>
  <c r="J73" i="53"/>
  <c r="L73" i="53" s="1"/>
  <c r="L70" i="53"/>
  <c r="J70" i="53"/>
  <c r="J69" i="53"/>
  <c r="L69" i="53" s="1"/>
  <c r="L68" i="53"/>
  <c r="J68" i="53"/>
  <c r="J67" i="53"/>
  <c r="L67" i="53" s="1"/>
  <c r="L66" i="53"/>
  <c r="J66" i="53"/>
  <c r="J65" i="53"/>
  <c r="L65" i="53" s="1"/>
  <c r="L64" i="53"/>
  <c r="J64" i="53"/>
  <c r="J63" i="53"/>
  <c r="L63" i="53" s="1"/>
  <c r="L62" i="53"/>
  <c r="J62" i="53"/>
  <c r="J61" i="53"/>
  <c r="L61" i="53" s="1"/>
  <c r="L60" i="53"/>
  <c r="J60" i="53"/>
  <c r="J59" i="53"/>
  <c r="L59" i="53" s="1"/>
  <c r="L58" i="53"/>
  <c r="J58" i="53"/>
  <c r="J57" i="53"/>
  <c r="L57" i="53" s="1"/>
  <c r="L56" i="53"/>
  <c r="J56" i="53"/>
  <c r="J55" i="53"/>
  <c r="L55" i="53" s="1"/>
  <c r="L54" i="53"/>
  <c r="J54" i="53"/>
  <c r="J53" i="53"/>
  <c r="L53" i="53" s="1"/>
  <c r="L52" i="53"/>
  <c r="J52" i="53"/>
  <c r="J51" i="53"/>
  <c r="L51" i="53" s="1"/>
  <c r="L50" i="53"/>
  <c r="J50" i="53"/>
  <c r="J49" i="53"/>
  <c r="L49" i="53" s="1"/>
  <c r="L48" i="53"/>
  <c r="J48" i="53"/>
  <c r="J47" i="53"/>
  <c r="L47" i="53" s="1"/>
  <c r="L46" i="53"/>
  <c r="J46" i="53"/>
  <c r="J45" i="53"/>
  <c r="L45" i="53" s="1"/>
  <c r="L44" i="53"/>
  <c r="J44" i="53"/>
  <c r="J43" i="53"/>
  <c r="L43" i="53" s="1"/>
  <c r="L42" i="53"/>
  <c r="J42" i="53"/>
  <c r="J41" i="53"/>
  <c r="L41" i="53" s="1"/>
  <c r="L40" i="53"/>
  <c r="J40" i="53"/>
  <c r="J39" i="53"/>
  <c r="L39" i="53" s="1"/>
  <c r="L38" i="53"/>
  <c r="J38" i="53"/>
  <c r="J35" i="53"/>
  <c r="L35" i="53" s="1"/>
  <c r="L34" i="53"/>
  <c r="J34" i="53"/>
  <c r="J33" i="53"/>
  <c r="L33" i="53" s="1"/>
  <c r="L32" i="53"/>
  <c r="J32" i="53"/>
  <c r="J31" i="53"/>
  <c r="L31" i="53" s="1"/>
  <c r="L30" i="53"/>
  <c r="J30" i="53"/>
  <c r="J29" i="53"/>
  <c r="L29" i="53" s="1"/>
  <c r="L28" i="53"/>
  <c r="J28" i="53"/>
  <c r="J27" i="53"/>
  <c r="L27" i="53" s="1"/>
  <c r="L26" i="53"/>
  <c r="J26" i="53"/>
  <c r="J25" i="53"/>
  <c r="L25" i="53" s="1"/>
  <c r="L24" i="53"/>
  <c r="J24" i="53"/>
  <c r="J114" i="53" s="1"/>
  <c r="I19" i="53"/>
  <c r="G19" i="53"/>
  <c r="F19" i="53"/>
  <c r="E19" i="53"/>
  <c r="D19" i="53"/>
  <c r="C19" i="53"/>
  <c r="L18" i="53"/>
  <c r="J18" i="53"/>
  <c r="J17" i="53"/>
  <c r="L17" i="53" s="1"/>
  <c r="J16" i="53"/>
  <c r="L16" i="53" s="1"/>
  <c r="J15" i="53"/>
  <c r="L15" i="53" s="1"/>
  <c r="J14" i="53"/>
  <c r="J13" i="53"/>
  <c r="L13" i="53" s="1"/>
  <c r="J12" i="53"/>
  <c r="J11" i="53"/>
  <c r="C11" i="53"/>
  <c r="J10" i="53"/>
  <c r="J19" i="53" s="1"/>
  <c r="C124" i="54" l="1"/>
  <c r="C128" i="54" s="1"/>
  <c r="M42" i="53"/>
  <c r="M47" i="53"/>
  <c r="M49" i="53"/>
  <c r="M51" i="53"/>
  <c r="M52" i="53"/>
  <c r="M54" i="53"/>
  <c r="M34" i="53"/>
  <c r="M38" i="53"/>
  <c r="M81" i="53"/>
  <c r="M83" i="53"/>
  <c r="M24" i="53"/>
  <c r="M29" i="53"/>
  <c r="M31" i="53"/>
  <c r="M33" i="53"/>
  <c r="M26" i="53"/>
  <c r="M28" i="53"/>
  <c r="M39" i="53"/>
  <c r="M41" i="53"/>
  <c r="M44" i="53"/>
  <c r="M46" i="53"/>
  <c r="M68" i="53"/>
  <c r="M70" i="53"/>
  <c r="M89" i="53"/>
  <c r="M91" i="53"/>
  <c r="M25" i="53"/>
  <c r="M32" i="53"/>
  <c r="M43" i="53"/>
  <c r="M50" i="53"/>
  <c r="M58" i="53"/>
  <c r="M63" i="53"/>
  <c r="M65" i="53"/>
  <c r="M67" i="53"/>
  <c r="M96" i="53"/>
  <c r="M55" i="53"/>
  <c r="M57" i="53"/>
  <c r="M60" i="53"/>
  <c r="M62" i="53"/>
  <c r="M73" i="53"/>
  <c r="M75" i="53"/>
  <c r="M88" i="53"/>
  <c r="M59" i="53"/>
  <c r="M66" i="53"/>
  <c r="M80" i="53"/>
  <c r="M97" i="53"/>
  <c r="M101" i="53"/>
  <c r="M103" i="53"/>
  <c r="M105" i="53"/>
  <c r="M109" i="53"/>
  <c r="M111" i="53"/>
  <c r="M27" i="53"/>
  <c r="M30" i="53"/>
  <c r="M35" i="53"/>
  <c r="M40" i="53"/>
  <c r="M45" i="53"/>
  <c r="M48" i="53"/>
  <c r="M53" i="53"/>
  <c r="M56" i="53"/>
  <c r="M61" i="53"/>
  <c r="M64" i="53"/>
  <c r="M69" i="53"/>
  <c r="M76" i="53"/>
  <c r="M85" i="53"/>
  <c r="M87" i="53"/>
  <c r="M92" i="53"/>
  <c r="M77" i="53"/>
  <c r="M79" i="53"/>
  <c r="M84" i="53"/>
  <c r="M93" i="53"/>
  <c r="M95" i="53"/>
  <c r="M114" i="53"/>
  <c r="L14" i="53"/>
  <c r="K19" i="53"/>
  <c r="M10" i="53" s="1"/>
  <c r="L12" i="53"/>
  <c r="L11" i="53"/>
  <c r="L114" i="53"/>
  <c r="L10" i="53"/>
  <c r="M102" i="53"/>
  <c r="M108" i="53"/>
  <c r="M112" i="53"/>
  <c r="C123" i="53"/>
  <c r="M74" i="53"/>
  <c r="M78" i="53"/>
  <c r="M82" i="53"/>
  <c r="M86" i="53"/>
  <c r="M90" i="53"/>
  <c r="M94" i="53"/>
  <c r="M98" i="53"/>
  <c r="M104" i="53"/>
  <c r="K14" i="52"/>
  <c r="K13" i="52"/>
  <c r="K12" i="52"/>
  <c r="K11" i="52"/>
  <c r="J112" i="52"/>
  <c r="J111" i="52"/>
  <c r="J110" i="52"/>
  <c r="J109" i="52"/>
  <c r="J108" i="52"/>
  <c r="J105" i="52"/>
  <c r="J104" i="52"/>
  <c r="J103" i="52"/>
  <c r="J102" i="52"/>
  <c r="J101" i="52"/>
  <c r="J98" i="52"/>
  <c r="J97" i="52"/>
  <c r="J96" i="52"/>
  <c r="J95" i="52"/>
  <c r="J94" i="52"/>
  <c r="J93" i="52"/>
  <c r="J92" i="52"/>
  <c r="J91" i="52"/>
  <c r="J90" i="52"/>
  <c r="J89" i="52"/>
  <c r="J88" i="52"/>
  <c r="J87" i="52"/>
  <c r="J86" i="52"/>
  <c r="J85" i="52"/>
  <c r="J84" i="52"/>
  <c r="J83" i="52"/>
  <c r="J82" i="52"/>
  <c r="J81" i="52"/>
  <c r="J80" i="52"/>
  <c r="J79" i="52"/>
  <c r="J78" i="52"/>
  <c r="J77" i="52"/>
  <c r="J76" i="52"/>
  <c r="J75" i="52"/>
  <c r="J74" i="52"/>
  <c r="J73" i="52"/>
  <c r="J70" i="52"/>
  <c r="J69" i="52"/>
  <c r="J68" i="52"/>
  <c r="J67" i="52"/>
  <c r="J66" i="52"/>
  <c r="J65" i="52"/>
  <c r="J64" i="52"/>
  <c r="J63" i="52"/>
  <c r="J62" i="52"/>
  <c r="J61" i="52"/>
  <c r="J60" i="52"/>
  <c r="J59" i="52"/>
  <c r="J58" i="52"/>
  <c r="J57" i="52"/>
  <c r="J56" i="52"/>
  <c r="J55" i="52"/>
  <c r="J54" i="52"/>
  <c r="J53" i="52"/>
  <c r="J52" i="52"/>
  <c r="J51" i="52"/>
  <c r="J50" i="52"/>
  <c r="J49" i="52"/>
  <c r="J48" i="52"/>
  <c r="J47" i="52"/>
  <c r="J46" i="52"/>
  <c r="J45" i="52"/>
  <c r="J44" i="52"/>
  <c r="J43" i="52"/>
  <c r="J42" i="52"/>
  <c r="J41" i="52"/>
  <c r="J40" i="52"/>
  <c r="J39" i="52"/>
  <c r="J38" i="52"/>
  <c r="J35" i="52"/>
  <c r="J34" i="52"/>
  <c r="J33" i="52"/>
  <c r="J32" i="52"/>
  <c r="J31" i="52"/>
  <c r="J30" i="52"/>
  <c r="J29" i="52"/>
  <c r="J28" i="52"/>
  <c r="J27" i="52"/>
  <c r="J26" i="52"/>
  <c r="J25" i="52"/>
  <c r="J18" i="52"/>
  <c r="J17" i="52"/>
  <c r="J16" i="52"/>
  <c r="J15" i="52"/>
  <c r="J14" i="52"/>
  <c r="J13" i="52"/>
  <c r="J12" i="52"/>
  <c r="J10" i="52"/>
  <c r="M12" i="53" l="1"/>
  <c r="C122" i="53"/>
  <c r="C124" i="53" s="1"/>
  <c r="C128" i="53" s="1"/>
  <c r="M18" i="53"/>
  <c r="M19" i="53" s="1"/>
  <c r="M11" i="53"/>
  <c r="M13" i="53"/>
  <c r="M14" i="53"/>
  <c r="L19" i="53"/>
  <c r="L109" i="52"/>
  <c r="L95" i="52"/>
  <c r="L91" i="52"/>
  <c r="L83" i="52"/>
  <c r="L79" i="52"/>
  <c r="L75" i="52"/>
  <c r="L67" i="52"/>
  <c r="L63" i="52"/>
  <c r="L59" i="52"/>
  <c r="L55" i="52"/>
  <c r="L51" i="52"/>
  <c r="L46" i="52"/>
  <c r="L42" i="52"/>
  <c r="L38" i="52"/>
  <c r="L34" i="52"/>
  <c r="L30" i="52"/>
  <c r="L26" i="52"/>
  <c r="J24" i="52"/>
  <c r="I114" i="52"/>
  <c r="H114" i="52"/>
  <c r="K114" i="52"/>
  <c r="M111" i="52" s="1"/>
  <c r="G114" i="52"/>
  <c r="F114" i="52"/>
  <c r="E114" i="52"/>
  <c r="D114" i="52"/>
  <c r="C114" i="52"/>
  <c r="L112" i="52"/>
  <c r="L111" i="52"/>
  <c r="L110" i="52"/>
  <c r="L108" i="52"/>
  <c r="L105" i="52"/>
  <c r="L104" i="52"/>
  <c r="L103" i="52"/>
  <c r="L102" i="52"/>
  <c r="L101" i="52"/>
  <c r="L98" i="52"/>
  <c r="L97" i="52"/>
  <c r="L96" i="52"/>
  <c r="L94" i="52"/>
  <c r="L93" i="52"/>
  <c r="L92" i="52"/>
  <c r="L90" i="52"/>
  <c r="L89" i="52"/>
  <c r="L88" i="52"/>
  <c r="L87" i="52"/>
  <c r="L86" i="52"/>
  <c r="L85" i="52"/>
  <c r="L84" i="52"/>
  <c r="L82" i="52"/>
  <c r="L81" i="52"/>
  <c r="L80" i="52"/>
  <c r="L78" i="52"/>
  <c r="L77" i="52"/>
  <c r="L76" i="52"/>
  <c r="L74" i="52"/>
  <c r="L73" i="52"/>
  <c r="L70" i="52"/>
  <c r="L69" i="52"/>
  <c r="L68" i="52"/>
  <c r="L66" i="52"/>
  <c r="L65" i="52"/>
  <c r="L64" i="52"/>
  <c r="L62" i="52"/>
  <c r="L61" i="52"/>
  <c r="L60" i="52"/>
  <c r="L58" i="52"/>
  <c r="L57" i="52"/>
  <c r="L56" i="52"/>
  <c r="L54" i="52"/>
  <c r="L53" i="52"/>
  <c r="L52" i="52"/>
  <c r="L50" i="52"/>
  <c r="L49" i="52"/>
  <c r="L48" i="52"/>
  <c r="L47" i="52"/>
  <c r="L45" i="52"/>
  <c r="L44" i="52"/>
  <c r="L43" i="52"/>
  <c r="L41" i="52"/>
  <c r="L40" i="52"/>
  <c r="L39" i="52"/>
  <c r="L35" i="52"/>
  <c r="L33" i="52"/>
  <c r="L32" i="52"/>
  <c r="L31" i="52"/>
  <c r="L29" i="52"/>
  <c r="L28" i="52"/>
  <c r="L27" i="52"/>
  <c r="L25" i="52"/>
  <c r="I19" i="52"/>
  <c r="G19" i="52"/>
  <c r="F19" i="52"/>
  <c r="E19" i="52"/>
  <c r="D19" i="52"/>
  <c r="L18" i="52"/>
  <c r="L17" i="52"/>
  <c r="L16" i="52"/>
  <c r="L15" i="52"/>
  <c r="L14" i="52"/>
  <c r="L13" i="52"/>
  <c r="L12" i="52"/>
  <c r="K19" i="52"/>
  <c r="C11" i="52"/>
  <c r="L10" i="52"/>
  <c r="M61" i="52" l="1"/>
  <c r="M76" i="52"/>
  <c r="M34" i="52"/>
  <c r="M55" i="52"/>
  <c r="M68" i="52"/>
  <c r="M110" i="52"/>
  <c r="M43" i="52"/>
  <c r="M52" i="52"/>
  <c r="M46" i="52"/>
  <c r="M86" i="52"/>
  <c r="M89" i="52"/>
  <c r="M18" i="52"/>
  <c r="M19" i="52" s="1"/>
  <c r="M14" i="52"/>
  <c r="M10" i="52"/>
  <c r="C122" i="52"/>
  <c r="M11" i="52"/>
  <c r="M12" i="52"/>
  <c r="C19" i="52"/>
  <c r="J11" i="52"/>
  <c r="M13" i="52"/>
  <c r="M25" i="52"/>
  <c r="M73" i="52"/>
  <c r="M97" i="52"/>
  <c r="M29" i="52"/>
  <c r="M32" i="52"/>
  <c r="M41" i="52"/>
  <c r="M50" i="52"/>
  <c r="M66" i="52"/>
  <c r="M81" i="52"/>
  <c r="M94" i="52"/>
  <c r="M103" i="52"/>
  <c r="M108" i="52"/>
  <c r="M59" i="52"/>
  <c r="M84" i="52"/>
  <c r="M27" i="52"/>
  <c r="M30" i="52"/>
  <c r="M39" i="52"/>
  <c r="M45" i="52"/>
  <c r="M48" i="52"/>
  <c r="M54" i="52"/>
  <c r="M57" i="52"/>
  <c r="M64" i="52"/>
  <c r="M70" i="52"/>
  <c r="M78" i="52"/>
  <c r="M92" i="52"/>
  <c r="M26" i="52"/>
  <c r="M42" i="52"/>
  <c r="M51" i="52"/>
  <c r="M62" i="52"/>
  <c r="M67" i="52"/>
  <c r="M74" i="52"/>
  <c r="M77" i="52"/>
  <c r="M80" i="52"/>
  <c r="M82" i="52"/>
  <c r="M85" i="52"/>
  <c r="M102" i="52"/>
  <c r="M104" i="52"/>
  <c r="M109" i="52"/>
  <c r="M114" i="52"/>
  <c r="M28" i="52"/>
  <c r="M35" i="52"/>
  <c r="M44" i="52"/>
  <c r="M53" i="52"/>
  <c r="M60" i="52"/>
  <c r="M69" i="52"/>
  <c r="M24" i="52"/>
  <c r="M31" i="52"/>
  <c r="M33" i="52"/>
  <c r="M38" i="52"/>
  <c r="M40" i="52"/>
  <c r="M47" i="52"/>
  <c r="M49" i="52"/>
  <c r="M56" i="52"/>
  <c r="M58" i="52"/>
  <c r="M63" i="52"/>
  <c r="M65" i="52"/>
  <c r="M88" i="52"/>
  <c r="M90" i="52"/>
  <c r="M93" i="52"/>
  <c r="M96" i="52"/>
  <c r="M98" i="52"/>
  <c r="M112" i="52"/>
  <c r="J114" i="52"/>
  <c r="L24" i="52"/>
  <c r="L114" i="52" s="1"/>
  <c r="C123" i="52"/>
  <c r="M75" i="52"/>
  <c r="M79" i="52"/>
  <c r="M83" i="52"/>
  <c r="M87" i="52"/>
  <c r="M91" i="52"/>
  <c r="M95" i="52"/>
  <c r="M101" i="52"/>
  <c r="M105" i="52"/>
  <c r="C125" i="51"/>
  <c r="C124" i="51"/>
  <c r="C130" i="51"/>
  <c r="J116" i="51"/>
  <c r="J19" i="51"/>
  <c r="J13" i="51"/>
  <c r="J11" i="51"/>
  <c r="J14" i="51"/>
  <c r="J12" i="51"/>
  <c r="C124" i="52" l="1"/>
  <c r="C128" i="52" s="1"/>
  <c r="J19" i="52"/>
  <c r="L11" i="52"/>
  <c r="L19" i="52" s="1"/>
  <c r="C126" i="51"/>
  <c r="C133" i="51" s="1"/>
  <c r="L88" i="51" l="1"/>
  <c r="H116" i="51"/>
  <c r="G116" i="51"/>
  <c r="F116" i="51"/>
  <c r="E116" i="51"/>
  <c r="D116" i="51"/>
  <c r="C116" i="51"/>
  <c r="I114" i="51"/>
  <c r="K114" i="51" s="1"/>
  <c r="I113" i="51"/>
  <c r="K113" i="51" s="1"/>
  <c r="I112" i="51"/>
  <c r="K112" i="51" s="1"/>
  <c r="I111" i="51"/>
  <c r="K111" i="51" s="1"/>
  <c r="I110" i="51"/>
  <c r="K110" i="51" s="1"/>
  <c r="I105" i="51"/>
  <c r="K105" i="51" s="1"/>
  <c r="I104" i="51"/>
  <c r="K104" i="51" s="1"/>
  <c r="I103" i="51"/>
  <c r="K103" i="51" s="1"/>
  <c r="I102" i="51"/>
  <c r="K102" i="51" s="1"/>
  <c r="I101" i="51"/>
  <c r="K101" i="51" s="1"/>
  <c r="I98" i="51"/>
  <c r="K98" i="51" s="1"/>
  <c r="I97" i="51"/>
  <c r="K97" i="51" s="1"/>
  <c r="I96" i="51"/>
  <c r="K96" i="51" s="1"/>
  <c r="I95" i="51"/>
  <c r="K95" i="51" s="1"/>
  <c r="I94" i="51"/>
  <c r="K94" i="51" s="1"/>
  <c r="I93" i="51"/>
  <c r="K93" i="51" s="1"/>
  <c r="I92" i="51"/>
  <c r="K92" i="51" s="1"/>
  <c r="I91" i="51"/>
  <c r="K91" i="51" s="1"/>
  <c r="I90" i="51"/>
  <c r="K90" i="51" s="1"/>
  <c r="I89" i="51"/>
  <c r="K89" i="51" s="1"/>
  <c r="I88" i="51"/>
  <c r="K88" i="51" s="1"/>
  <c r="I87" i="51"/>
  <c r="K87" i="51" s="1"/>
  <c r="I86" i="51"/>
  <c r="K86" i="51" s="1"/>
  <c r="I85" i="51"/>
  <c r="K85" i="51" s="1"/>
  <c r="I84" i="51"/>
  <c r="K84" i="51" s="1"/>
  <c r="I83" i="51"/>
  <c r="K83" i="51" s="1"/>
  <c r="I82" i="51"/>
  <c r="K82" i="51" s="1"/>
  <c r="I81" i="51"/>
  <c r="K81" i="51" s="1"/>
  <c r="I80" i="51"/>
  <c r="K80" i="51" s="1"/>
  <c r="I79" i="51"/>
  <c r="K79" i="51" s="1"/>
  <c r="I78" i="51"/>
  <c r="K78" i="51" s="1"/>
  <c r="I77" i="51"/>
  <c r="K77" i="51" s="1"/>
  <c r="I76" i="51"/>
  <c r="K76" i="51" s="1"/>
  <c r="K75" i="51"/>
  <c r="I75" i="51"/>
  <c r="I74" i="51"/>
  <c r="K74" i="51" s="1"/>
  <c r="I73" i="51"/>
  <c r="K73" i="51" s="1"/>
  <c r="K72" i="51"/>
  <c r="I70" i="51"/>
  <c r="K70" i="51" s="1"/>
  <c r="I69" i="51"/>
  <c r="K69" i="51" s="1"/>
  <c r="I68" i="51"/>
  <c r="K68" i="51" s="1"/>
  <c r="I67" i="51"/>
  <c r="K67" i="51" s="1"/>
  <c r="I66" i="51"/>
  <c r="K66" i="51" s="1"/>
  <c r="I65" i="51"/>
  <c r="K65" i="51" s="1"/>
  <c r="K64" i="51"/>
  <c r="I64" i="51"/>
  <c r="I63" i="51"/>
  <c r="K63" i="51" s="1"/>
  <c r="I62" i="51"/>
  <c r="K62" i="51" s="1"/>
  <c r="I61" i="51"/>
  <c r="K61" i="51" s="1"/>
  <c r="I60" i="51"/>
  <c r="K60" i="51" s="1"/>
  <c r="I59" i="51"/>
  <c r="K59" i="51" s="1"/>
  <c r="I58" i="51"/>
  <c r="K58" i="51" s="1"/>
  <c r="I57" i="51"/>
  <c r="K57" i="51" s="1"/>
  <c r="I56" i="51"/>
  <c r="K56" i="51" s="1"/>
  <c r="I55" i="51"/>
  <c r="K55" i="51" s="1"/>
  <c r="I54" i="51"/>
  <c r="K54" i="51" s="1"/>
  <c r="I53" i="51"/>
  <c r="K53" i="51" s="1"/>
  <c r="I52" i="51"/>
  <c r="K52" i="51" s="1"/>
  <c r="I51" i="51"/>
  <c r="K51" i="51" s="1"/>
  <c r="I50" i="51"/>
  <c r="K50" i="51" s="1"/>
  <c r="I49" i="51"/>
  <c r="K49" i="51" s="1"/>
  <c r="I48" i="51"/>
  <c r="K48" i="51" s="1"/>
  <c r="I47" i="51"/>
  <c r="K47" i="51" s="1"/>
  <c r="I46" i="51"/>
  <c r="K46" i="51" s="1"/>
  <c r="I45" i="51"/>
  <c r="K45" i="51" s="1"/>
  <c r="I44" i="51"/>
  <c r="K44" i="51" s="1"/>
  <c r="I43" i="51"/>
  <c r="K43" i="51" s="1"/>
  <c r="I42" i="51"/>
  <c r="K42" i="51" s="1"/>
  <c r="I41" i="51"/>
  <c r="K41" i="51" s="1"/>
  <c r="I40" i="51"/>
  <c r="K40" i="51" s="1"/>
  <c r="I39" i="51"/>
  <c r="K39" i="51" s="1"/>
  <c r="I38" i="51"/>
  <c r="K38" i="51" s="1"/>
  <c r="K37" i="51"/>
  <c r="I35" i="51"/>
  <c r="K35" i="51" s="1"/>
  <c r="I34" i="51"/>
  <c r="K34" i="51" s="1"/>
  <c r="I33" i="51"/>
  <c r="K33" i="51" s="1"/>
  <c r="I32" i="51"/>
  <c r="K32" i="51" s="1"/>
  <c r="I31" i="51"/>
  <c r="K31" i="51" s="1"/>
  <c r="I30" i="51"/>
  <c r="K30" i="51" s="1"/>
  <c r="I29" i="51"/>
  <c r="K29" i="51" s="1"/>
  <c r="I28" i="51"/>
  <c r="K28" i="51" s="1"/>
  <c r="I27" i="51"/>
  <c r="K27" i="51" s="1"/>
  <c r="I26" i="51"/>
  <c r="K26" i="51" s="1"/>
  <c r="I25" i="51"/>
  <c r="K25" i="51" s="1"/>
  <c r="I24" i="51"/>
  <c r="K24" i="51" s="1"/>
  <c r="H19" i="51"/>
  <c r="G19" i="51"/>
  <c r="F19" i="51"/>
  <c r="E19" i="51"/>
  <c r="D19" i="51"/>
  <c r="K18" i="51"/>
  <c r="I18" i="51"/>
  <c r="I17" i="51"/>
  <c r="K17" i="51" s="1"/>
  <c r="I16" i="51"/>
  <c r="K16" i="51" s="1"/>
  <c r="I15" i="51"/>
  <c r="K15" i="51" s="1"/>
  <c r="I14" i="51"/>
  <c r="I13" i="51"/>
  <c r="I12" i="51"/>
  <c r="K12" i="51" s="1"/>
  <c r="C11" i="51"/>
  <c r="C19" i="51" s="1"/>
  <c r="I10" i="51"/>
  <c r="L64" i="51" l="1"/>
  <c r="L111" i="51"/>
  <c r="L48" i="51"/>
  <c r="L96" i="51"/>
  <c r="L33" i="51"/>
  <c r="L25" i="51"/>
  <c r="L76" i="51"/>
  <c r="L40" i="51"/>
  <c r="L56" i="51"/>
  <c r="L84" i="51"/>
  <c r="L80" i="51"/>
  <c r="K13" i="51"/>
  <c r="L29" i="51"/>
  <c r="L44" i="51"/>
  <c r="L52" i="51"/>
  <c r="L60" i="51"/>
  <c r="L68" i="51"/>
  <c r="L72" i="51"/>
  <c r="L92" i="51"/>
  <c r="I11" i="51"/>
  <c r="K11" i="51" s="1"/>
  <c r="L10" i="51"/>
  <c r="K14" i="51"/>
  <c r="I116" i="51"/>
  <c r="K116" i="51"/>
  <c r="L28" i="51"/>
  <c r="L43" i="51"/>
  <c r="L51" i="51"/>
  <c r="L55" i="51"/>
  <c r="L59" i="51"/>
  <c r="L63" i="51"/>
  <c r="L67" i="51"/>
  <c r="L75" i="51"/>
  <c r="L79" i="51"/>
  <c r="L83" i="51"/>
  <c r="L87" i="51"/>
  <c r="L91" i="51"/>
  <c r="L95" i="51"/>
  <c r="L101" i="51"/>
  <c r="L105" i="51"/>
  <c r="L113" i="51"/>
  <c r="L114" i="51"/>
  <c r="K10" i="51"/>
  <c r="L24" i="51"/>
  <c r="L32" i="51"/>
  <c r="L39" i="51"/>
  <c r="L47" i="51"/>
  <c r="L27" i="51"/>
  <c r="L31" i="51"/>
  <c r="L35" i="51"/>
  <c r="L38" i="51"/>
  <c r="L42" i="51"/>
  <c r="L46" i="51"/>
  <c r="L50" i="51"/>
  <c r="L54" i="51"/>
  <c r="L58" i="51"/>
  <c r="L62" i="51"/>
  <c r="L66" i="51"/>
  <c r="L70" i="51"/>
  <c r="L74" i="51"/>
  <c r="L78" i="51"/>
  <c r="L82" i="51"/>
  <c r="L86" i="51"/>
  <c r="L90" i="51"/>
  <c r="L94" i="51"/>
  <c r="L98" i="51"/>
  <c r="L104" i="51"/>
  <c r="L112" i="51"/>
  <c r="L116" i="51"/>
  <c r="L102" i="51"/>
  <c r="L110" i="51"/>
  <c r="L26" i="51"/>
  <c r="L30" i="51"/>
  <c r="L34" i="51"/>
  <c r="L41" i="51"/>
  <c r="L45" i="51"/>
  <c r="L49" i="51"/>
  <c r="L53" i="51"/>
  <c r="L57" i="51"/>
  <c r="L61" i="51"/>
  <c r="L65" i="51"/>
  <c r="L69" i="51"/>
  <c r="L73" i="51"/>
  <c r="L77" i="51"/>
  <c r="L81" i="51"/>
  <c r="L85" i="51"/>
  <c r="L89" i="51"/>
  <c r="L93" i="51"/>
  <c r="L97" i="51"/>
  <c r="L103" i="51"/>
  <c r="J14" i="50"/>
  <c r="J13" i="50"/>
  <c r="J12" i="50"/>
  <c r="J11" i="50"/>
  <c r="C130" i="50"/>
  <c r="J116" i="50"/>
  <c r="C125" i="50" s="1"/>
  <c r="H116" i="50"/>
  <c r="G116" i="50"/>
  <c r="F116" i="50"/>
  <c r="E116" i="50"/>
  <c r="D116" i="50"/>
  <c r="C116" i="50"/>
  <c r="I114" i="50"/>
  <c r="K114" i="50" s="1"/>
  <c r="I113" i="50"/>
  <c r="K113" i="50" s="1"/>
  <c r="I112" i="50"/>
  <c r="K112" i="50" s="1"/>
  <c r="I111" i="50"/>
  <c r="K111" i="50" s="1"/>
  <c r="I110" i="50"/>
  <c r="K110" i="50" s="1"/>
  <c r="I105" i="50"/>
  <c r="K105" i="50" s="1"/>
  <c r="I104" i="50"/>
  <c r="K104" i="50" s="1"/>
  <c r="I103" i="50"/>
  <c r="K103" i="50" s="1"/>
  <c r="I102" i="50"/>
  <c r="K102" i="50" s="1"/>
  <c r="I101" i="50"/>
  <c r="K101" i="50" s="1"/>
  <c r="I98" i="50"/>
  <c r="K98" i="50" s="1"/>
  <c r="I97" i="50"/>
  <c r="K97" i="50" s="1"/>
  <c r="I96" i="50"/>
  <c r="K96" i="50" s="1"/>
  <c r="I95" i="50"/>
  <c r="K95" i="50" s="1"/>
  <c r="I94" i="50"/>
  <c r="K94" i="50" s="1"/>
  <c r="I93" i="50"/>
  <c r="K93" i="50" s="1"/>
  <c r="I92" i="50"/>
  <c r="K92" i="50" s="1"/>
  <c r="I91" i="50"/>
  <c r="K91" i="50" s="1"/>
  <c r="I90" i="50"/>
  <c r="K90" i="50" s="1"/>
  <c r="I89" i="50"/>
  <c r="K89" i="50" s="1"/>
  <c r="I88" i="50"/>
  <c r="K88" i="50" s="1"/>
  <c r="I87" i="50"/>
  <c r="K87" i="50" s="1"/>
  <c r="I86" i="50"/>
  <c r="K86" i="50" s="1"/>
  <c r="I85" i="50"/>
  <c r="K85" i="50" s="1"/>
  <c r="I84" i="50"/>
  <c r="K84" i="50" s="1"/>
  <c r="I83" i="50"/>
  <c r="K83" i="50" s="1"/>
  <c r="I82" i="50"/>
  <c r="K82" i="50" s="1"/>
  <c r="I81" i="50"/>
  <c r="K81" i="50" s="1"/>
  <c r="I80" i="50"/>
  <c r="K80" i="50" s="1"/>
  <c r="I79" i="50"/>
  <c r="K79" i="50" s="1"/>
  <c r="I78" i="50"/>
  <c r="K78" i="50" s="1"/>
  <c r="I77" i="50"/>
  <c r="K77" i="50" s="1"/>
  <c r="I76" i="50"/>
  <c r="K76" i="50" s="1"/>
  <c r="I75" i="50"/>
  <c r="K75" i="50" s="1"/>
  <c r="I74" i="50"/>
  <c r="K74" i="50" s="1"/>
  <c r="I73" i="50"/>
  <c r="K73" i="50" s="1"/>
  <c r="K72" i="50"/>
  <c r="I70" i="50"/>
  <c r="K70" i="50" s="1"/>
  <c r="I69" i="50"/>
  <c r="K69" i="50" s="1"/>
  <c r="I68" i="50"/>
  <c r="K68" i="50" s="1"/>
  <c r="I67" i="50"/>
  <c r="K67" i="50" s="1"/>
  <c r="I66" i="50"/>
  <c r="K66" i="50" s="1"/>
  <c r="I65" i="50"/>
  <c r="K65" i="50" s="1"/>
  <c r="I64" i="50"/>
  <c r="K64" i="50" s="1"/>
  <c r="I63" i="50"/>
  <c r="K63" i="50" s="1"/>
  <c r="I62" i="50"/>
  <c r="K62" i="50" s="1"/>
  <c r="I61" i="50"/>
  <c r="K61" i="50" s="1"/>
  <c r="I60" i="50"/>
  <c r="K60" i="50" s="1"/>
  <c r="I59" i="50"/>
  <c r="K59" i="50" s="1"/>
  <c r="I58" i="50"/>
  <c r="K58" i="50" s="1"/>
  <c r="I57" i="50"/>
  <c r="K57" i="50" s="1"/>
  <c r="I56" i="50"/>
  <c r="K56" i="50" s="1"/>
  <c r="I55" i="50"/>
  <c r="K55" i="50" s="1"/>
  <c r="I54" i="50"/>
  <c r="K54" i="50" s="1"/>
  <c r="I53" i="50"/>
  <c r="K53" i="50" s="1"/>
  <c r="I52" i="50"/>
  <c r="K52" i="50" s="1"/>
  <c r="I51" i="50"/>
  <c r="K51" i="50" s="1"/>
  <c r="I50" i="50"/>
  <c r="K50" i="50" s="1"/>
  <c r="I49" i="50"/>
  <c r="K49" i="50" s="1"/>
  <c r="I48" i="50"/>
  <c r="K48" i="50" s="1"/>
  <c r="I47" i="50"/>
  <c r="K47" i="50" s="1"/>
  <c r="I46" i="50"/>
  <c r="K46" i="50" s="1"/>
  <c r="I45" i="50"/>
  <c r="K45" i="50" s="1"/>
  <c r="I44" i="50"/>
  <c r="K44" i="50" s="1"/>
  <c r="I43" i="50"/>
  <c r="K43" i="50" s="1"/>
  <c r="I42" i="50"/>
  <c r="K42" i="50" s="1"/>
  <c r="I41" i="50"/>
  <c r="K41" i="50" s="1"/>
  <c r="I40" i="50"/>
  <c r="K40" i="50" s="1"/>
  <c r="I39" i="50"/>
  <c r="K39" i="50" s="1"/>
  <c r="I38" i="50"/>
  <c r="K38" i="50" s="1"/>
  <c r="K37" i="50"/>
  <c r="I35" i="50"/>
  <c r="K35" i="50" s="1"/>
  <c r="I34" i="50"/>
  <c r="K34" i="50" s="1"/>
  <c r="I33" i="50"/>
  <c r="K33" i="50" s="1"/>
  <c r="I32" i="50"/>
  <c r="K32" i="50" s="1"/>
  <c r="I31" i="50"/>
  <c r="K31" i="50" s="1"/>
  <c r="I30" i="50"/>
  <c r="K30" i="50" s="1"/>
  <c r="I29" i="50"/>
  <c r="K29" i="50" s="1"/>
  <c r="I28" i="50"/>
  <c r="K28" i="50" s="1"/>
  <c r="I27" i="50"/>
  <c r="K27" i="50" s="1"/>
  <c r="I26" i="50"/>
  <c r="K26" i="50" s="1"/>
  <c r="I25" i="50"/>
  <c r="K25" i="50" s="1"/>
  <c r="I24" i="50"/>
  <c r="K24" i="50" s="1"/>
  <c r="H19" i="50"/>
  <c r="G19" i="50"/>
  <c r="F19" i="50"/>
  <c r="E19" i="50"/>
  <c r="D19" i="50"/>
  <c r="K18" i="50"/>
  <c r="I18" i="50"/>
  <c r="I17" i="50"/>
  <c r="K17" i="50" s="1"/>
  <c r="I16" i="50"/>
  <c r="K16" i="50" s="1"/>
  <c r="I15" i="50"/>
  <c r="K15" i="50" s="1"/>
  <c r="I14" i="50"/>
  <c r="K14" i="50" s="1"/>
  <c r="I13" i="50"/>
  <c r="I12" i="50"/>
  <c r="C11" i="50"/>
  <c r="C19" i="50" s="1"/>
  <c r="I10" i="50"/>
  <c r="K10" i="50" s="1"/>
  <c r="L14" i="51" l="1"/>
  <c r="K19" i="51"/>
  <c r="L11" i="51"/>
  <c r="I19" i="51"/>
  <c r="L18" i="51"/>
  <c r="L19" i="51" s="1"/>
  <c r="L13" i="51"/>
  <c r="L12" i="51"/>
  <c r="K13" i="50"/>
  <c r="J19" i="50"/>
  <c r="C124" i="50" s="1"/>
  <c r="C126" i="50" s="1"/>
  <c r="C133" i="50" s="1"/>
  <c r="C135" i="50" s="1"/>
  <c r="I11" i="50"/>
  <c r="K11" i="50" s="1"/>
  <c r="K12" i="50"/>
  <c r="L24" i="50"/>
  <c r="L31" i="50"/>
  <c r="L38" i="50"/>
  <c r="L40" i="50"/>
  <c r="L45" i="50"/>
  <c r="L33" i="50"/>
  <c r="L47" i="50"/>
  <c r="L54" i="50"/>
  <c r="L57" i="50"/>
  <c r="L62" i="50"/>
  <c r="L64" i="50"/>
  <c r="L69" i="50"/>
  <c r="L72" i="50"/>
  <c r="L77" i="50"/>
  <c r="L86" i="50"/>
  <c r="L88" i="50"/>
  <c r="L93" i="50"/>
  <c r="L104" i="50"/>
  <c r="L110" i="50"/>
  <c r="L26" i="50"/>
  <c r="L28" i="50"/>
  <c r="L42" i="50"/>
  <c r="L49" i="50"/>
  <c r="L56" i="50"/>
  <c r="L66" i="50"/>
  <c r="L74" i="50"/>
  <c r="L90" i="50"/>
  <c r="L30" i="50"/>
  <c r="L32" i="50"/>
  <c r="L39" i="50"/>
  <c r="L27" i="50"/>
  <c r="L29" i="50"/>
  <c r="L34" i="50"/>
  <c r="L41" i="50"/>
  <c r="L43" i="50"/>
  <c r="L50" i="50"/>
  <c r="L52" i="50"/>
  <c r="L55" i="50"/>
  <c r="L60" i="50"/>
  <c r="L65" i="50"/>
  <c r="L73" i="50"/>
  <c r="L82" i="50"/>
  <c r="L84" i="50"/>
  <c r="L89" i="50"/>
  <c r="L98" i="50"/>
  <c r="L102" i="50"/>
  <c r="L111" i="50"/>
  <c r="L35" i="50"/>
  <c r="L44" i="50"/>
  <c r="L51" i="50"/>
  <c r="L59" i="50"/>
  <c r="L68" i="50"/>
  <c r="L76" i="50"/>
  <c r="L81" i="50"/>
  <c r="L92" i="50"/>
  <c r="L97" i="50"/>
  <c r="L112" i="50"/>
  <c r="L114" i="50"/>
  <c r="L116" i="50"/>
  <c r="L25" i="50"/>
  <c r="L46" i="50"/>
  <c r="L48" i="50"/>
  <c r="L53" i="50"/>
  <c r="L58" i="50"/>
  <c r="L61" i="50"/>
  <c r="L70" i="50"/>
  <c r="L78" i="50"/>
  <c r="L80" i="50"/>
  <c r="L85" i="50"/>
  <c r="L94" i="50"/>
  <c r="L96" i="50"/>
  <c r="L103" i="50"/>
  <c r="K116" i="50"/>
  <c r="L63" i="50"/>
  <c r="L67" i="50"/>
  <c r="L75" i="50"/>
  <c r="L79" i="50"/>
  <c r="L83" i="50"/>
  <c r="L87" i="50"/>
  <c r="L91" i="50"/>
  <c r="L95" i="50"/>
  <c r="L101" i="50"/>
  <c r="L105" i="50"/>
  <c r="L113" i="50"/>
  <c r="I116" i="50"/>
  <c r="K116" i="49"/>
  <c r="K115" i="49"/>
  <c r="K114" i="49"/>
  <c r="K113" i="49"/>
  <c r="K112" i="49"/>
  <c r="K107" i="49"/>
  <c r="K106" i="49"/>
  <c r="K105" i="49"/>
  <c r="K104" i="49"/>
  <c r="K103" i="49"/>
  <c r="K101" i="49"/>
  <c r="K100" i="49"/>
  <c r="K99" i="49"/>
  <c r="K98" i="49"/>
  <c r="K97" i="49"/>
  <c r="K96" i="49"/>
  <c r="K95" i="49"/>
  <c r="K94" i="49"/>
  <c r="K93" i="49"/>
  <c r="K92" i="49"/>
  <c r="K91" i="49"/>
  <c r="K90" i="49"/>
  <c r="K89" i="49"/>
  <c r="K88" i="49"/>
  <c r="K87" i="49"/>
  <c r="K86" i="49"/>
  <c r="K85" i="49"/>
  <c r="K84" i="49"/>
  <c r="K83" i="49"/>
  <c r="K82" i="49"/>
  <c r="K81" i="49"/>
  <c r="K80" i="49"/>
  <c r="K79" i="49"/>
  <c r="K78" i="49"/>
  <c r="K77" i="49"/>
  <c r="K76" i="49"/>
  <c r="K75" i="49"/>
  <c r="K74" i="49"/>
  <c r="K73" i="49"/>
  <c r="K72" i="49"/>
  <c r="K71" i="49"/>
  <c r="K70" i="49"/>
  <c r="K69" i="49"/>
  <c r="K68" i="49"/>
  <c r="K67" i="49"/>
  <c r="K66" i="49"/>
  <c r="K65" i="49"/>
  <c r="K64" i="49"/>
  <c r="K63" i="49"/>
  <c r="K62" i="49"/>
  <c r="K61" i="49"/>
  <c r="K60" i="49"/>
  <c r="K51" i="49"/>
  <c r="K50" i="49"/>
  <c r="K49" i="49"/>
  <c r="K48" i="49"/>
  <c r="K47" i="49"/>
  <c r="K46" i="49"/>
  <c r="K45" i="49"/>
  <c r="K44" i="49"/>
  <c r="K43" i="49"/>
  <c r="K42" i="49"/>
  <c r="K41" i="49"/>
  <c r="K40" i="49"/>
  <c r="K39" i="49"/>
  <c r="K38" i="49"/>
  <c r="K37" i="49"/>
  <c r="K36" i="49"/>
  <c r="K35" i="49"/>
  <c r="K34" i="49"/>
  <c r="K33" i="49"/>
  <c r="K32" i="49"/>
  <c r="K31" i="49"/>
  <c r="K30" i="49"/>
  <c r="K29" i="49"/>
  <c r="K28" i="49"/>
  <c r="K27" i="49"/>
  <c r="K26" i="49"/>
  <c r="K25" i="49"/>
  <c r="K24" i="49"/>
  <c r="K23" i="49"/>
  <c r="K22" i="49"/>
  <c r="K21" i="49"/>
  <c r="I19" i="50" l="1"/>
  <c r="L11" i="50"/>
  <c r="L14" i="50"/>
  <c r="K19" i="50"/>
  <c r="L13" i="50"/>
  <c r="L12" i="50"/>
  <c r="L18" i="50"/>
  <c r="L19" i="50" s="1"/>
  <c r="L10" i="50"/>
  <c r="K12" i="49"/>
  <c r="K11" i="49"/>
  <c r="K10" i="49"/>
  <c r="J12" i="49" l="1"/>
  <c r="C132" i="49" l="1"/>
  <c r="J118" i="49"/>
  <c r="C127" i="49" s="1"/>
  <c r="H118" i="49"/>
  <c r="G118" i="49"/>
  <c r="F118" i="49"/>
  <c r="E118" i="49"/>
  <c r="D118" i="49"/>
  <c r="C118" i="49"/>
  <c r="I116" i="49"/>
  <c r="I115" i="49"/>
  <c r="I114" i="49"/>
  <c r="I113" i="49"/>
  <c r="I112" i="49"/>
  <c r="I107" i="49"/>
  <c r="I106" i="49"/>
  <c r="I105" i="49"/>
  <c r="I104" i="49"/>
  <c r="I103" i="49"/>
  <c r="I101" i="49"/>
  <c r="I100" i="49"/>
  <c r="I99" i="49"/>
  <c r="I98" i="49"/>
  <c r="I97" i="49"/>
  <c r="I96" i="49"/>
  <c r="I95" i="49"/>
  <c r="I94" i="49"/>
  <c r="I93" i="49"/>
  <c r="I92" i="49"/>
  <c r="I91" i="49"/>
  <c r="I90" i="49"/>
  <c r="I89" i="49"/>
  <c r="I88" i="49"/>
  <c r="I87" i="49"/>
  <c r="I86" i="49"/>
  <c r="I85" i="49"/>
  <c r="I84" i="49"/>
  <c r="I83" i="49"/>
  <c r="I82" i="49"/>
  <c r="I81" i="49"/>
  <c r="I80" i="49"/>
  <c r="I79" i="49"/>
  <c r="I78" i="49"/>
  <c r="I77" i="49"/>
  <c r="I76" i="49"/>
  <c r="I74" i="49"/>
  <c r="I73" i="49"/>
  <c r="I72" i="49"/>
  <c r="I71" i="49"/>
  <c r="I70" i="49"/>
  <c r="I69" i="49"/>
  <c r="I68" i="49"/>
  <c r="I67" i="49"/>
  <c r="I66" i="49"/>
  <c r="I65" i="49"/>
  <c r="I64" i="49"/>
  <c r="I63" i="49"/>
  <c r="I62" i="49"/>
  <c r="I61" i="49"/>
  <c r="I60" i="49"/>
  <c r="I51" i="49"/>
  <c r="I50" i="49"/>
  <c r="I49" i="49"/>
  <c r="I48" i="49"/>
  <c r="I47" i="49"/>
  <c r="I46" i="49"/>
  <c r="I45" i="49"/>
  <c r="I44" i="49"/>
  <c r="I43" i="49"/>
  <c r="I42" i="49"/>
  <c r="I41" i="49"/>
  <c r="I40" i="49"/>
  <c r="I39" i="49"/>
  <c r="I38" i="49"/>
  <c r="I37" i="49"/>
  <c r="I36" i="49"/>
  <c r="I35" i="49"/>
  <c r="I34" i="49"/>
  <c r="I32" i="49"/>
  <c r="I31" i="49"/>
  <c r="I30" i="49"/>
  <c r="I29" i="49"/>
  <c r="I28" i="49"/>
  <c r="I27" i="49"/>
  <c r="I26" i="49"/>
  <c r="I25" i="49"/>
  <c r="I24" i="49"/>
  <c r="I23" i="49"/>
  <c r="I22" i="49"/>
  <c r="I21" i="49"/>
  <c r="H18" i="49"/>
  <c r="G18" i="49"/>
  <c r="F18" i="49"/>
  <c r="E18" i="49"/>
  <c r="D18" i="49"/>
  <c r="K17" i="49"/>
  <c r="I17" i="49"/>
  <c r="I16" i="49"/>
  <c r="K16" i="49" s="1"/>
  <c r="I15" i="49"/>
  <c r="K15" i="49" s="1"/>
  <c r="I14" i="49"/>
  <c r="K14" i="49" s="1"/>
  <c r="J13" i="49"/>
  <c r="I13" i="49"/>
  <c r="I12" i="49"/>
  <c r="J18" i="49"/>
  <c r="I11" i="49"/>
  <c r="C10" i="49"/>
  <c r="C18" i="49" s="1"/>
  <c r="I9" i="49"/>
  <c r="K9" i="49" s="1"/>
  <c r="J10" i="47"/>
  <c r="J11" i="47"/>
  <c r="L24" i="49" l="1"/>
  <c r="L29" i="49"/>
  <c r="L32" i="49"/>
  <c r="L46" i="49"/>
  <c r="L65" i="49"/>
  <c r="L21" i="49"/>
  <c r="L38" i="49"/>
  <c r="L41" i="49"/>
  <c r="L45" i="49"/>
  <c r="L79" i="49"/>
  <c r="K13" i="49"/>
  <c r="L88" i="49"/>
  <c r="L91" i="49"/>
  <c r="L69" i="49"/>
  <c r="L74" i="49"/>
  <c r="L83" i="49"/>
  <c r="L95" i="49"/>
  <c r="L50" i="49"/>
  <c r="L61" i="49"/>
  <c r="L70" i="49"/>
  <c r="L76" i="49"/>
  <c r="L84" i="49"/>
  <c r="L112" i="49"/>
  <c r="K18" i="49"/>
  <c r="I118" i="49"/>
  <c r="L25" i="49"/>
  <c r="L28" i="49"/>
  <c r="L34" i="49"/>
  <c r="L37" i="49"/>
  <c r="L62" i="49"/>
  <c r="L75" i="49"/>
  <c r="L92" i="49"/>
  <c r="L100" i="49"/>
  <c r="L113" i="49"/>
  <c r="L99" i="49"/>
  <c r="L105" i="49"/>
  <c r="L116" i="49"/>
  <c r="L42" i="49"/>
  <c r="L49" i="49"/>
  <c r="L66" i="49"/>
  <c r="L73" i="49"/>
  <c r="L80" i="49"/>
  <c r="L87" i="49"/>
  <c r="L96" i="49"/>
  <c r="L104" i="49"/>
  <c r="C126" i="49"/>
  <c r="C128" i="49" s="1"/>
  <c r="C135" i="49" s="1"/>
  <c r="C137" i="49" s="1"/>
  <c r="L17" i="49"/>
  <c r="L18" i="49" s="1"/>
  <c r="L9" i="49"/>
  <c r="L11" i="49"/>
  <c r="I10" i="49"/>
  <c r="I18" i="49" s="1"/>
  <c r="L12" i="49"/>
  <c r="L13" i="49"/>
  <c r="K118" i="49"/>
  <c r="L23" i="49"/>
  <c r="L27" i="49"/>
  <c r="L31" i="49"/>
  <c r="L36" i="49"/>
  <c r="L40" i="49"/>
  <c r="L44" i="49"/>
  <c r="L48" i="49"/>
  <c r="L60" i="49"/>
  <c r="L64" i="49"/>
  <c r="L68" i="49"/>
  <c r="L72" i="49"/>
  <c r="L78" i="49"/>
  <c r="L82" i="49"/>
  <c r="L86" i="49"/>
  <c r="L90" i="49"/>
  <c r="L94" i="49"/>
  <c r="L98" i="49"/>
  <c r="L103" i="49"/>
  <c r="L107" i="49"/>
  <c r="L115" i="49"/>
  <c r="L10" i="49"/>
  <c r="L22" i="49"/>
  <c r="L26" i="49"/>
  <c r="L30" i="49"/>
  <c r="L35" i="49"/>
  <c r="L39" i="49"/>
  <c r="L43" i="49"/>
  <c r="L47" i="49"/>
  <c r="L51" i="49"/>
  <c r="L63" i="49"/>
  <c r="L67" i="49"/>
  <c r="L71" i="49"/>
  <c r="L77" i="49"/>
  <c r="L81" i="49"/>
  <c r="L85" i="49"/>
  <c r="L89" i="49"/>
  <c r="L93" i="49"/>
  <c r="L97" i="49"/>
  <c r="L101" i="49"/>
  <c r="L106" i="49"/>
  <c r="L114" i="49"/>
  <c r="L118" i="49"/>
  <c r="J13" i="47" l="1"/>
  <c r="J12" i="47" l="1"/>
  <c r="J12" i="45"/>
  <c r="J13" i="45" l="1"/>
  <c r="J13" i="44"/>
  <c r="J12" i="44"/>
  <c r="J11" i="44"/>
  <c r="K100" i="47" l="1"/>
  <c r="J118" i="47"/>
  <c r="C132" i="47"/>
  <c r="H118" i="47"/>
  <c r="G118" i="47"/>
  <c r="F118" i="47"/>
  <c r="E118" i="47"/>
  <c r="D118" i="47"/>
  <c r="C118" i="47"/>
  <c r="I116" i="47"/>
  <c r="K116" i="47" s="1"/>
  <c r="I115" i="47"/>
  <c r="K115" i="47" s="1"/>
  <c r="I114" i="47"/>
  <c r="K114" i="47" s="1"/>
  <c r="K113" i="47"/>
  <c r="I113" i="47"/>
  <c r="I112" i="47"/>
  <c r="K112" i="47" s="1"/>
  <c r="I107" i="47"/>
  <c r="K107" i="47" s="1"/>
  <c r="I106" i="47"/>
  <c r="K106" i="47" s="1"/>
  <c r="K105" i="47"/>
  <c r="I105" i="47"/>
  <c r="I104" i="47"/>
  <c r="K104" i="47" s="1"/>
  <c r="I103" i="47"/>
  <c r="K103" i="47" s="1"/>
  <c r="I101" i="47"/>
  <c r="K101" i="47" s="1"/>
  <c r="I100" i="47"/>
  <c r="I99" i="47"/>
  <c r="K99" i="47" s="1"/>
  <c r="I98" i="47"/>
  <c r="K98" i="47" s="1"/>
  <c r="I97" i="47"/>
  <c r="K97" i="47" s="1"/>
  <c r="I96" i="47"/>
  <c r="K96" i="47" s="1"/>
  <c r="I95" i="47"/>
  <c r="K95" i="47" s="1"/>
  <c r="I94" i="47"/>
  <c r="K94" i="47" s="1"/>
  <c r="I93" i="47"/>
  <c r="K93" i="47" s="1"/>
  <c r="K92" i="47"/>
  <c r="I92" i="47"/>
  <c r="I91" i="47"/>
  <c r="K91" i="47" s="1"/>
  <c r="I90" i="47"/>
  <c r="K90" i="47" s="1"/>
  <c r="I89" i="47"/>
  <c r="K89" i="47" s="1"/>
  <c r="I88" i="47"/>
  <c r="K88" i="47" s="1"/>
  <c r="I87" i="47"/>
  <c r="K87" i="47" s="1"/>
  <c r="I86" i="47"/>
  <c r="K86" i="47" s="1"/>
  <c r="I85" i="47"/>
  <c r="K85" i="47" s="1"/>
  <c r="I84" i="47"/>
  <c r="K84" i="47" s="1"/>
  <c r="I83" i="47"/>
  <c r="K83" i="47" s="1"/>
  <c r="I82" i="47"/>
  <c r="K82" i="47" s="1"/>
  <c r="I81" i="47"/>
  <c r="K81" i="47" s="1"/>
  <c r="I80" i="47"/>
  <c r="K80" i="47" s="1"/>
  <c r="I79" i="47"/>
  <c r="K79" i="47" s="1"/>
  <c r="I78" i="47"/>
  <c r="K78" i="47" s="1"/>
  <c r="I77" i="47"/>
  <c r="K77" i="47" s="1"/>
  <c r="I76" i="47"/>
  <c r="K76" i="47" s="1"/>
  <c r="I74" i="47"/>
  <c r="K74" i="47" s="1"/>
  <c r="I73" i="47"/>
  <c r="K73" i="47" s="1"/>
  <c r="I72" i="47"/>
  <c r="K72" i="47" s="1"/>
  <c r="I71" i="47"/>
  <c r="K71" i="47" s="1"/>
  <c r="K70" i="47"/>
  <c r="I70" i="47"/>
  <c r="I69" i="47"/>
  <c r="K69" i="47" s="1"/>
  <c r="I68" i="47"/>
  <c r="K68" i="47" s="1"/>
  <c r="I67" i="47"/>
  <c r="K67" i="47" s="1"/>
  <c r="I66" i="47"/>
  <c r="K66" i="47" s="1"/>
  <c r="I65" i="47"/>
  <c r="K65" i="47" s="1"/>
  <c r="I64" i="47"/>
  <c r="K64" i="47" s="1"/>
  <c r="I63" i="47"/>
  <c r="K63" i="47" s="1"/>
  <c r="I62" i="47"/>
  <c r="K62" i="47" s="1"/>
  <c r="I61" i="47"/>
  <c r="K61" i="47" s="1"/>
  <c r="I60" i="47"/>
  <c r="K60" i="47" s="1"/>
  <c r="I51" i="47"/>
  <c r="K51" i="47" s="1"/>
  <c r="I50" i="47"/>
  <c r="K50" i="47" s="1"/>
  <c r="I49" i="47"/>
  <c r="K49" i="47" s="1"/>
  <c r="I48" i="47"/>
  <c r="K48" i="47" s="1"/>
  <c r="I47" i="47"/>
  <c r="K47" i="47" s="1"/>
  <c r="K46" i="47"/>
  <c r="I46" i="47"/>
  <c r="I45" i="47"/>
  <c r="K45" i="47" s="1"/>
  <c r="I44" i="47"/>
  <c r="K44" i="47" s="1"/>
  <c r="I43" i="47"/>
  <c r="K43" i="47" s="1"/>
  <c r="I42" i="47"/>
  <c r="K42" i="47" s="1"/>
  <c r="I41" i="47"/>
  <c r="K41" i="47" s="1"/>
  <c r="I40" i="47"/>
  <c r="K40" i="47" s="1"/>
  <c r="I39" i="47"/>
  <c r="K39" i="47" s="1"/>
  <c r="K38" i="47"/>
  <c r="I38" i="47"/>
  <c r="I37" i="47"/>
  <c r="K37" i="47" s="1"/>
  <c r="I36" i="47"/>
  <c r="K36" i="47" s="1"/>
  <c r="I35" i="47"/>
  <c r="K35" i="47" s="1"/>
  <c r="K34" i="47"/>
  <c r="I34" i="47"/>
  <c r="I32" i="47"/>
  <c r="K32" i="47" s="1"/>
  <c r="I31" i="47"/>
  <c r="K31" i="47" s="1"/>
  <c r="I30" i="47"/>
  <c r="K29" i="47"/>
  <c r="I29" i="47"/>
  <c r="I28" i="47"/>
  <c r="K28" i="47" s="1"/>
  <c r="I27" i="47"/>
  <c r="K27" i="47" s="1"/>
  <c r="I26" i="47"/>
  <c r="K25" i="47"/>
  <c r="I25" i="47"/>
  <c r="I24" i="47"/>
  <c r="K24" i="47" s="1"/>
  <c r="I23" i="47"/>
  <c r="I22" i="47"/>
  <c r="K21" i="47"/>
  <c r="I21" i="47"/>
  <c r="J18" i="47"/>
  <c r="C126" i="47" s="1"/>
  <c r="H18" i="47"/>
  <c r="G18" i="47"/>
  <c r="F18" i="47"/>
  <c r="E18" i="47"/>
  <c r="D18" i="47"/>
  <c r="K17" i="47"/>
  <c r="I17" i="47"/>
  <c r="I16" i="47"/>
  <c r="K16" i="47" s="1"/>
  <c r="I15" i="47"/>
  <c r="K15" i="47" s="1"/>
  <c r="I14" i="47"/>
  <c r="K14" i="47" s="1"/>
  <c r="I13" i="47"/>
  <c r="K13" i="47" s="1"/>
  <c r="I12" i="47"/>
  <c r="K12" i="47" s="1"/>
  <c r="I11" i="47"/>
  <c r="C10" i="47"/>
  <c r="I10" i="47" s="1"/>
  <c r="I9" i="47"/>
  <c r="I18" i="47" s="1"/>
  <c r="C127" i="47" l="1"/>
  <c r="C128" i="47" s="1"/>
  <c r="C135" i="47" s="1"/>
  <c r="C137" i="47" s="1"/>
  <c r="L71" i="47"/>
  <c r="L30" i="47"/>
  <c r="L26" i="47"/>
  <c r="L47" i="47"/>
  <c r="L31" i="47"/>
  <c r="L23" i="47"/>
  <c r="L40" i="47"/>
  <c r="L64" i="47"/>
  <c r="L21" i="47"/>
  <c r="L32" i="47"/>
  <c r="L38" i="47"/>
  <c r="L49" i="47"/>
  <c r="L62" i="47"/>
  <c r="L73" i="47"/>
  <c r="L22" i="47"/>
  <c r="L25" i="47"/>
  <c r="L37" i="47"/>
  <c r="L44" i="47"/>
  <c r="L51" i="47"/>
  <c r="L68" i="47"/>
  <c r="L77" i="47"/>
  <c r="L84" i="47"/>
  <c r="L95" i="47"/>
  <c r="L103" i="47"/>
  <c r="K23" i="47"/>
  <c r="L28" i="47"/>
  <c r="K30" i="47"/>
  <c r="L34" i="47"/>
  <c r="L36" i="47"/>
  <c r="L43" i="47"/>
  <c r="L45" i="47"/>
  <c r="L50" i="47"/>
  <c r="L60" i="47"/>
  <c r="L67" i="47"/>
  <c r="L69" i="47"/>
  <c r="L74" i="47"/>
  <c r="L76" i="47"/>
  <c r="L78" i="47"/>
  <c r="L85" i="47"/>
  <c r="L87" i="47"/>
  <c r="L92" i="47"/>
  <c r="L94" i="47"/>
  <c r="L101" i="47"/>
  <c r="L104" i="47"/>
  <c r="L113" i="47"/>
  <c r="L115" i="47"/>
  <c r="L106" i="47"/>
  <c r="L75" i="47"/>
  <c r="L80" i="47"/>
  <c r="L82" i="47"/>
  <c r="L89" i="47"/>
  <c r="L91" i="47"/>
  <c r="L96" i="47"/>
  <c r="L98" i="47"/>
  <c r="L112" i="47"/>
  <c r="K22" i="47"/>
  <c r="L27" i="47"/>
  <c r="L35" i="47"/>
  <c r="L42" i="47"/>
  <c r="L61" i="47"/>
  <c r="L66" i="47"/>
  <c r="L79" i="47"/>
  <c r="L86" i="47"/>
  <c r="L93" i="47"/>
  <c r="L100" i="47"/>
  <c r="L114" i="47"/>
  <c r="L116" i="47"/>
  <c r="L118" i="47"/>
  <c r="L24" i="47"/>
  <c r="K26" i="47"/>
  <c r="L29" i="47"/>
  <c r="L39" i="47"/>
  <c r="L41" i="47"/>
  <c r="L46" i="47"/>
  <c r="L48" i="47"/>
  <c r="L63" i="47"/>
  <c r="L65" i="47"/>
  <c r="L70" i="47"/>
  <c r="L72" i="47"/>
  <c r="L81" i="47"/>
  <c r="L83" i="47"/>
  <c r="L88" i="47"/>
  <c r="L90" i="47"/>
  <c r="L97" i="47"/>
  <c r="L99" i="47"/>
  <c r="L105" i="47"/>
  <c r="L107" i="47"/>
  <c r="L12" i="47"/>
  <c r="L10" i="47"/>
  <c r="L9" i="47"/>
  <c r="L11" i="47"/>
  <c r="L13" i="47"/>
  <c r="L17" i="47"/>
  <c r="L18" i="47" s="1"/>
  <c r="I118" i="47"/>
  <c r="K9" i="47"/>
  <c r="K18" i="47" s="1"/>
  <c r="C18" i="47"/>
  <c r="K118" i="47" l="1"/>
  <c r="C122" i="42"/>
  <c r="I12" i="45" l="1"/>
  <c r="K12" i="45" s="1"/>
  <c r="J118" i="45" l="1"/>
  <c r="C132" i="45" l="1"/>
  <c r="C127" i="43" l="1"/>
  <c r="C130" i="41"/>
  <c r="J11" i="45"/>
  <c r="J10" i="45"/>
  <c r="I10" i="45"/>
  <c r="J10" i="44"/>
  <c r="J18" i="45" l="1"/>
  <c r="L12" i="45" s="1"/>
  <c r="I46" i="45" l="1"/>
  <c r="K46" i="45" s="1"/>
  <c r="I12" i="44" l="1"/>
  <c r="J18" i="43" l="1"/>
  <c r="L37" i="45"/>
  <c r="H118" i="45"/>
  <c r="G118" i="45"/>
  <c r="F118" i="45"/>
  <c r="E118" i="45"/>
  <c r="D118" i="45"/>
  <c r="C118" i="45"/>
  <c r="I116" i="45"/>
  <c r="K116" i="45" s="1"/>
  <c r="I115" i="45"/>
  <c r="K115" i="45" s="1"/>
  <c r="I114" i="45"/>
  <c r="K114" i="45" s="1"/>
  <c r="K113" i="45"/>
  <c r="I113" i="45"/>
  <c r="I112" i="45"/>
  <c r="K112" i="45" s="1"/>
  <c r="I107" i="45"/>
  <c r="K107" i="45" s="1"/>
  <c r="I106" i="45"/>
  <c r="K106" i="45" s="1"/>
  <c r="I105" i="45"/>
  <c r="K105" i="45" s="1"/>
  <c r="I104" i="45"/>
  <c r="K104" i="45" s="1"/>
  <c r="I103" i="45"/>
  <c r="K103" i="45" s="1"/>
  <c r="I101" i="45"/>
  <c r="K101" i="45" s="1"/>
  <c r="I100" i="45"/>
  <c r="K100" i="45" s="1"/>
  <c r="I99" i="45"/>
  <c r="K99" i="45" s="1"/>
  <c r="I98" i="45"/>
  <c r="K98" i="45" s="1"/>
  <c r="I97" i="45"/>
  <c r="K97" i="45" s="1"/>
  <c r="I96" i="45"/>
  <c r="K96" i="45" s="1"/>
  <c r="I95" i="45"/>
  <c r="K95" i="45" s="1"/>
  <c r="I94" i="45"/>
  <c r="K94" i="45" s="1"/>
  <c r="I93" i="45"/>
  <c r="K93" i="45" s="1"/>
  <c r="I92" i="45"/>
  <c r="K92" i="45" s="1"/>
  <c r="I91" i="45"/>
  <c r="K91" i="45" s="1"/>
  <c r="I90" i="45"/>
  <c r="K90" i="45" s="1"/>
  <c r="I89" i="45"/>
  <c r="K89" i="45" s="1"/>
  <c r="I88" i="45"/>
  <c r="K88" i="45" s="1"/>
  <c r="I87" i="45"/>
  <c r="K87" i="45" s="1"/>
  <c r="I86" i="45"/>
  <c r="K86" i="45" s="1"/>
  <c r="I85" i="45"/>
  <c r="K85" i="45" s="1"/>
  <c r="I84" i="45"/>
  <c r="K84" i="45" s="1"/>
  <c r="I83" i="45"/>
  <c r="K83" i="45" s="1"/>
  <c r="I82" i="45"/>
  <c r="K82" i="45" s="1"/>
  <c r="I81" i="45"/>
  <c r="K81" i="45" s="1"/>
  <c r="I80" i="45"/>
  <c r="K80" i="45" s="1"/>
  <c r="I79" i="45"/>
  <c r="K79" i="45" s="1"/>
  <c r="I78" i="45"/>
  <c r="K78" i="45" s="1"/>
  <c r="I77" i="45"/>
  <c r="K77" i="45" s="1"/>
  <c r="I76" i="45"/>
  <c r="K76" i="45" s="1"/>
  <c r="I74" i="45"/>
  <c r="K74" i="45" s="1"/>
  <c r="K73" i="45"/>
  <c r="I73" i="45"/>
  <c r="I72" i="45"/>
  <c r="K72" i="45" s="1"/>
  <c r="I71" i="45"/>
  <c r="K71" i="45" s="1"/>
  <c r="I70" i="45"/>
  <c r="K70" i="45" s="1"/>
  <c r="K69" i="45"/>
  <c r="I69" i="45"/>
  <c r="I68" i="45"/>
  <c r="K68" i="45" s="1"/>
  <c r="I67" i="45"/>
  <c r="K67" i="45" s="1"/>
  <c r="I66" i="45"/>
  <c r="K66" i="45" s="1"/>
  <c r="I65" i="45"/>
  <c r="K65" i="45" s="1"/>
  <c r="I64" i="45"/>
  <c r="K64" i="45" s="1"/>
  <c r="I63" i="45"/>
  <c r="K63" i="45" s="1"/>
  <c r="I62" i="45"/>
  <c r="K62" i="45" s="1"/>
  <c r="I61" i="45"/>
  <c r="K61" i="45" s="1"/>
  <c r="I60" i="45"/>
  <c r="K60" i="45" s="1"/>
  <c r="I51" i="45"/>
  <c r="K51" i="45" s="1"/>
  <c r="I50" i="45"/>
  <c r="K50" i="45" s="1"/>
  <c r="I49" i="45"/>
  <c r="K49" i="45" s="1"/>
  <c r="I48" i="45"/>
  <c r="K48" i="45" s="1"/>
  <c r="I47" i="45"/>
  <c r="K47" i="45" s="1"/>
  <c r="K45" i="45"/>
  <c r="I45" i="45"/>
  <c r="I44" i="45"/>
  <c r="K44" i="45" s="1"/>
  <c r="I43" i="45"/>
  <c r="K43" i="45" s="1"/>
  <c r="K42" i="45"/>
  <c r="I42" i="45"/>
  <c r="I41" i="45"/>
  <c r="K41" i="45" s="1"/>
  <c r="I40" i="45"/>
  <c r="K40" i="45" s="1"/>
  <c r="I39" i="45"/>
  <c r="K39" i="45" s="1"/>
  <c r="I38" i="45"/>
  <c r="K38" i="45" s="1"/>
  <c r="I37" i="45"/>
  <c r="K37" i="45" s="1"/>
  <c r="I36" i="45"/>
  <c r="K36" i="45" s="1"/>
  <c r="I35" i="45"/>
  <c r="K35" i="45" s="1"/>
  <c r="I34" i="45"/>
  <c r="K34" i="45" s="1"/>
  <c r="I32" i="45"/>
  <c r="K32" i="45" s="1"/>
  <c r="I31" i="45"/>
  <c r="K31" i="45" s="1"/>
  <c r="I30" i="45"/>
  <c r="K30" i="45" s="1"/>
  <c r="I29" i="45"/>
  <c r="K29" i="45" s="1"/>
  <c r="I28" i="45"/>
  <c r="K28" i="45" s="1"/>
  <c r="I27" i="45"/>
  <c r="K27" i="45" s="1"/>
  <c r="I26" i="45"/>
  <c r="K26" i="45" s="1"/>
  <c r="I25" i="45"/>
  <c r="K25" i="45" s="1"/>
  <c r="I24" i="45"/>
  <c r="K24" i="45" s="1"/>
  <c r="I23" i="45"/>
  <c r="I22" i="45"/>
  <c r="K22" i="45" s="1"/>
  <c r="I21" i="45"/>
  <c r="K21" i="45" s="1"/>
  <c r="H18" i="45"/>
  <c r="G18" i="45"/>
  <c r="F18" i="45"/>
  <c r="E18" i="45"/>
  <c r="D18" i="45"/>
  <c r="C18" i="45"/>
  <c r="K17" i="45"/>
  <c r="I17" i="45"/>
  <c r="I16" i="45"/>
  <c r="K16" i="45" s="1"/>
  <c r="I15" i="45"/>
  <c r="K15" i="45" s="1"/>
  <c r="K14" i="45"/>
  <c r="I14" i="45"/>
  <c r="I13" i="45"/>
  <c r="K13" i="45" s="1"/>
  <c r="I11" i="45"/>
  <c r="C10" i="45"/>
  <c r="I9" i="45"/>
  <c r="I18" i="45" l="1"/>
  <c r="L61" i="45"/>
  <c r="L63" i="45"/>
  <c r="L73" i="45"/>
  <c r="L21" i="45"/>
  <c r="L29" i="45"/>
  <c r="L22" i="45"/>
  <c r="L30" i="45"/>
  <c r="L32" i="45"/>
  <c r="L47" i="45"/>
  <c r="L75" i="45"/>
  <c r="L80" i="45"/>
  <c r="L83" i="45"/>
  <c r="L88" i="45"/>
  <c r="L91" i="45"/>
  <c r="L96" i="45"/>
  <c r="L99" i="45"/>
  <c r="L105" i="45"/>
  <c r="L112" i="45"/>
  <c r="L71" i="45"/>
  <c r="L24" i="45"/>
  <c r="L26" i="45"/>
  <c r="L28" i="45"/>
  <c r="L34" i="45"/>
  <c r="L115" i="45"/>
  <c r="L46" i="45"/>
  <c r="L49" i="45"/>
  <c r="L41" i="45"/>
  <c r="L70" i="45"/>
  <c r="L25" i="45"/>
  <c r="L35" i="45"/>
  <c r="L39" i="45"/>
  <c r="L43" i="45"/>
  <c r="L45" i="45"/>
  <c r="L50" i="45"/>
  <c r="L65" i="45"/>
  <c r="L67" i="45"/>
  <c r="L69" i="45"/>
  <c r="L74" i="45"/>
  <c r="L76" i="45"/>
  <c r="L79" i="45"/>
  <c r="L92" i="45"/>
  <c r="L95" i="45"/>
  <c r="L113" i="45"/>
  <c r="L116" i="45"/>
  <c r="L118" i="45"/>
  <c r="L38" i="45"/>
  <c r="L42" i="45"/>
  <c r="L51" i="45"/>
  <c r="L84" i="45"/>
  <c r="L87" i="45"/>
  <c r="L100" i="45"/>
  <c r="L104" i="45"/>
  <c r="L62" i="45"/>
  <c r="L66" i="45"/>
  <c r="L77" i="45"/>
  <c r="L81" i="45"/>
  <c r="L85" i="45"/>
  <c r="L89" i="45"/>
  <c r="L93" i="45"/>
  <c r="L97" i="45"/>
  <c r="L101" i="45"/>
  <c r="L106" i="45"/>
  <c r="L114" i="45"/>
  <c r="L17" i="45"/>
  <c r="L18" i="45" s="1"/>
  <c r="K23" i="45"/>
  <c r="K118" i="45" s="1"/>
  <c r="I118" i="45"/>
  <c r="C127" i="45"/>
  <c r="K9" i="45"/>
  <c r="K18" i="45" s="1"/>
  <c r="L23" i="45"/>
  <c r="L27" i="45"/>
  <c r="L31" i="45"/>
  <c r="L36" i="45"/>
  <c r="L40" i="45"/>
  <c r="L44" i="45"/>
  <c r="L48" i="45"/>
  <c r="L60" i="45"/>
  <c r="L64" i="45"/>
  <c r="L68" i="45"/>
  <c r="L72" i="45"/>
  <c r="L78" i="45"/>
  <c r="L82" i="45"/>
  <c r="L86" i="45"/>
  <c r="L90" i="45"/>
  <c r="L94" i="45"/>
  <c r="L98" i="45"/>
  <c r="L103" i="45"/>
  <c r="L107" i="45"/>
  <c r="L13" i="45" l="1"/>
  <c r="L9" i="45"/>
  <c r="L11" i="45"/>
  <c r="C126" i="45"/>
  <c r="C128" i="45" s="1"/>
  <c r="C135" i="45" s="1"/>
  <c r="C137" i="45" s="1"/>
  <c r="L10" i="45"/>
  <c r="C122" i="44"/>
  <c r="J108" i="44"/>
  <c r="C117" i="44" s="1"/>
  <c r="H108" i="44"/>
  <c r="G108" i="44"/>
  <c r="F108" i="44"/>
  <c r="E108" i="44"/>
  <c r="D108" i="44"/>
  <c r="C108" i="44"/>
  <c r="K106" i="44"/>
  <c r="I106" i="44"/>
  <c r="I105" i="44"/>
  <c r="K105" i="44" s="1"/>
  <c r="I104" i="44"/>
  <c r="K104" i="44" s="1"/>
  <c r="K103" i="44"/>
  <c r="I103" i="44"/>
  <c r="K102" i="44"/>
  <c r="I102" i="44"/>
  <c r="I99" i="44"/>
  <c r="K99" i="44" s="1"/>
  <c r="I98" i="44"/>
  <c r="K98" i="44" s="1"/>
  <c r="K97" i="44"/>
  <c r="I97" i="44"/>
  <c r="L96" i="44"/>
  <c r="K96" i="44"/>
  <c r="I96" i="44"/>
  <c r="I95" i="44"/>
  <c r="K95" i="44" s="1"/>
  <c r="L93" i="44"/>
  <c r="I93" i="44"/>
  <c r="K93" i="44" s="1"/>
  <c r="K92" i="44"/>
  <c r="I92" i="44"/>
  <c r="K91" i="44"/>
  <c r="I91" i="44"/>
  <c r="I90" i="44"/>
  <c r="K90" i="44" s="1"/>
  <c r="I89" i="44"/>
  <c r="K89" i="44" s="1"/>
  <c r="L88" i="44"/>
  <c r="K88" i="44"/>
  <c r="I88" i="44"/>
  <c r="L87" i="44"/>
  <c r="K87" i="44"/>
  <c r="I87" i="44"/>
  <c r="I86" i="44"/>
  <c r="K86" i="44" s="1"/>
  <c r="L85" i="44"/>
  <c r="I85" i="44"/>
  <c r="K85" i="44" s="1"/>
  <c r="K84" i="44"/>
  <c r="I84" i="44"/>
  <c r="K83" i="44"/>
  <c r="I83" i="44"/>
  <c r="I82" i="44"/>
  <c r="K82" i="44" s="1"/>
  <c r="L81" i="44"/>
  <c r="I81" i="44"/>
  <c r="K81" i="44" s="1"/>
  <c r="K80" i="44"/>
  <c r="I80" i="44"/>
  <c r="L79" i="44"/>
  <c r="K79" i="44"/>
  <c r="I79" i="44"/>
  <c r="I78" i="44"/>
  <c r="K78" i="44" s="1"/>
  <c r="I77" i="44"/>
  <c r="K77" i="44" s="1"/>
  <c r="L76" i="44"/>
  <c r="K76" i="44"/>
  <c r="I76" i="44"/>
  <c r="K75" i="44"/>
  <c r="I75" i="44"/>
  <c r="I74" i="44"/>
  <c r="K74" i="44" s="1"/>
  <c r="L73" i="44"/>
  <c r="I73" i="44"/>
  <c r="K73" i="44" s="1"/>
  <c r="L72" i="44"/>
  <c r="K72" i="44"/>
  <c r="I72" i="44"/>
  <c r="L71" i="44"/>
  <c r="K71" i="44"/>
  <c r="I71" i="44"/>
  <c r="L70" i="44"/>
  <c r="I70" i="44"/>
  <c r="K70" i="44" s="1"/>
  <c r="L69" i="44"/>
  <c r="I69" i="44"/>
  <c r="K69" i="44" s="1"/>
  <c r="L68" i="44"/>
  <c r="K68" i="44"/>
  <c r="I68" i="44"/>
  <c r="K66" i="44"/>
  <c r="I66" i="44"/>
  <c r="K65" i="44"/>
  <c r="I65" i="44"/>
  <c r="I64" i="44"/>
  <c r="K64" i="44" s="1"/>
  <c r="L63" i="44"/>
  <c r="I63" i="44"/>
  <c r="K63" i="44" s="1"/>
  <c r="K62" i="44"/>
  <c r="I62" i="44"/>
  <c r="L61" i="44"/>
  <c r="K61" i="44"/>
  <c r="I61" i="44"/>
  <c r="L60" i="44"/>
  <c r="I60" i="44"/>
  <c r="K60" i="44" s="1"/>
  <c r="I59" i="44"/>
  <c r="K59" i="44" s="1"/>
  <c r="L58" i="44"/>
  <c r="K58" i="44"/>
  <c r="I58" i="44"/>
  <c r="K57" i="44"/>
  <c r="I57" i="44"/>
  <c r="L56" i="44"/>
  <c r="I56" i="44"/>
  <c r="K56" i="44" s="1"/>
  <c r="L55" i="44"/>
  <c r="I55" i="44"/>
  <c r="K55" i="44" s="1"/>
  <c r="L54" i="44"/>
  <c r="K54" i="44"/>
  <c r="I54" i="44"/>
  <c r="L53" i="44"/>
  <c r="K53" i="44"/>
  <c r="I53" i="44"/>
  <c r="L52" i="44"/>
  <c r="I52" i="44"/>
  <c r="K52" i="44" s="1"/>
  <c r="L51" i="44"/>
  <c r="I51" i="44"/>
  <c r="K51" i="44" s="1"/>
  <c r="L50" i="44"/>
  <c r="K50" i="44"/>
  <c r="I50" i="44"/>
  <c r="K49" i="44"/>
  <c r="I49" i="44"/>
  <c r="L48" i="44"/>
  <c r="I48" i="44"/>
  <c r="K48" i="44" s="1"/>
  <c r="I47" i="44"/>
  <c r="K47" i="44" s="1"/>
  <c r="L46" i="44"/>
  <c r="K46" i="44"/>
  <c r="I46" i="44"/>
  <c r="L45" i="44"/>
  <c r="K45" i="44"/>
  <c r="I45" i="44"/>
  <c r="I44" i="44"/>
  <c r="K44" i="44" s="1"/>
  <c r="L43" i="44"/>
  <c r="I43" i="44"/>
  <c r="K43" i="44" s="1"/>
  <c r="K42" i="44"/>
  <c r="I42" i="44"/>
  <c r="K41" i="44"/>
  <c r="I41" i="44"/>
  <c r="L40" i="44"/>
  <c r="I40" i="44"/>
  <c r="K40" i="44" s="1"/>
  <c r="L39" i="44"/>
  <c r="I39" i="44"/>
  <c r="K39" i="44" s="1"/>
  <c r="L38" i="44"/>
  <c r="K38" i="44"/>
  <c r="I38" i="44"/>
  <c r="K37" i="44"/>
  <c r="I37" i="44"/>
  <c r="L36" i="44"/>
  <c r="I36" i="44"/>
  <c r="K36" i="44" s="1"/>
  <c r="L35" i="44"/>
  <c r="I35" i="44"/>
  <c r="K35" i="44" s="1"/>
  <c r="L34" i="44"/>
  <c r="K34" i="44"/>
  <c r="I34" i="44"/>
  <c r="L32" i="44"/>
  <c r="K32" i="44"/>
  <c r="I32" i="44"/>
  <c r="L31" i="44"/>
  <c r="I31" i="44"/>
  <c r="K31" i="44" s="1"/>
  <c r="L30" i="44"/>
  <c r="I30" i="44"/>
  <c r="K30" i="44" s="1"/>
  <c r="L29" i="44"/>
  <c r="K29" i="44"/>
  <c r="I29" i="44"/>
  <c r="K28" i="44"/>
  <c r="I28" i="44"/>
  <c r="L27" i="44"/>
  <c r="I27" i="44"/>
  <c r="K27" i="44" s="1"/>
  <c r="L26" i="44"/>
  <c r="I26" i="44"/>
  <c r="K26" i="44" s="1"/>
  <c r="L25" i="44"/>
  <c r="K25" i="44"/>
  <c r="I25" i="44"/>
  <c r="L24" i="44"/>
  <c r="K24" i="44"/>
  <c r="I24" i="44"/>
  <c r="L23" i="44"/>
  <c r="I23" i="44"/>
  <c r="K23" i="44" s="1"/>
  <c r="L22" i="44"/>
  <c r="I22" i="44"/>
  <c r="K22" i="44" s="1"/>
  <c r="L21" i="44"/>
  <c r="K21" i="44"/>
  <c r="I21" i="44"/>
  <c r="H18" i="44"/>
  <c r="G18" i="44"/>
  <c r="F18" i="44"/>
  <c r="E18" i="44"/>
  <c r="D18" i="44"/>
  <c r="K17" i="44"/>
  <c r="I17" i="44"/>
  <c r="K16" i="44"/>
  <c r="I16" i="44"/>
  <c r="I15" i="44"/>
  <c r="K15" i="44" s="1"/>
  <c r="K14" i="44"/>
  <c r="I14" i="44"/>
  <c r="I13" i="44"/>
  <c r="K13" i="44" s="1"/>
  <c r="K12" i="44"/>
  <c r="I11" i="44"/>
  <c r="C10" i="44"/>
  <c r="C18" i="44" s="1"/>
  <c r="I9" i="44"/>
  <c r="L28" i="44" l="1"/>
  <c r="L37" i="44"/>
  <c r="L42" i="44"/>
  <c r="L44" i="44"/>
  <c r="L47" i="44"/>
  <c r="L59" i="44"/>
  <c r="L62" i="44"/>
  <c r="L64" i="44"/>
  <c r="L84" i="44"/>
  <c r="L97" i="44"/>
  <c r="L104" i="44"/>
  <c r="L106" i="44"/>
  <c r="L108" i="44"/>
  <c r="L90" i="44"/>
  <c r="L99" i="44"/>
  <c r="L74" i="44"/>
  <c r="L78" i="44"/>
  <c r="L66" i="44"/>
  <c r="L77" i="44"/>
  <c r="L80" i="44"/>
  <c r="L82" i="44"/>
  <c r="L86" i="44"/>
  <c r="L89" i="44"/>
  <c r="L92" i="44"/>
  <c r="L95" i="44"/>
  <c r="L98" i="44"/>
  <c r="L103" i="44"/>
  <c r="L105" i="44"/>
  <c r="L41" i="44"/>
  <c r="L49" i="44"/>
  <c r="L57" i="44"/>
  <c r="L65" i="44"/>
  <c r="L67" i="44"/>
  <c r="L75" i="44"/>
  <c r="L83" i="44"/>
  <c r="L91" i="44"/>
  <c r="L102" i="44"/>
  <c r="K108" i="44"/>
  <c r="I18" i="44"/>
  <c r="I108" i="44"/>
  <c r="I10" i="44"/>
  <c r="J21" i="42"/>
  <c r="J39" i="42" l="1"/>
  <c r="J56" i="42"/>
  <c r="C122" i="43" l="1"/>
  <c r="H108" i="43"/>
  <c r="G108" i="43"/>
  <c r="F108" i="43"/>
  <c r="E108" i="43"/>
  <c r="D108" i="43"/>
  <c r="C108" i="43"/>
  <c r="I106" i="43"/>
  <c r="K106" i="43" s="1"/>
  <c r="I105" i="43"/>
  <c r="K105" i="43" s="1"/>
  <c r="I104" i="43"/>
  <c r="K104" i="43" s="1"/>
  <c r="I103" i="43"/>
  <c r="K103" i="43" s="1"/>
  <c r="I102" i="43"/>
  <c r="K102" i="43" s="1"/>
  <c r="I99" i="43"/>
  <c r="K99" i="43" s="1"/>
  <c r="I98" i="43"/>
  <c r="K98" i="43" s="1"/>
  <c r="K97" i="43"/>
  <c r="I97" i="43"/>
  <c r="I96" i="43"/>
  <c r="K96" i="43" s="1"/>
  <c r="I95" i="43"/>
  <c r="K95" i="43" s="1"/>
  <c r="I93" i="43"/>
  <c r="K93" i="43" s="1"/>
  <c r="I92" i="43"/>
  <c r="K92" i="43" s="1"/>
  <c r="I91" i="43"/>
  <c r="K91" i="43" s="1"/>
  <c r="I90" i="43"/>
  <c r="K90" i="43" s="1"/>
  <c r="I89" i="43"/>
  <c r="K89" i="43" s="1"/>
  <c r="I88" i="43"/>
  <c r="K88" i="43" s="1"/>
  <c r="I87" i="43"/>
  <c r="K87" i="43" s="1"/>
  <c r="I86" i="43"/>
  <c r="K86" i="43" s="1"/>
  <c r="I85" i="43"/>
  <c r="K85" i="43" s="1"/>
  <c r="I84" i="43"/>
  <c r="K84" i="43" s="1"/>
  <c r="I83" i="43"/>
  <c r="K83" i="43" s="1"/>
  <c r="I82" i="43"/>
  <c r="K82" i="43" s="1"/>
  <c r="I81" i="43"/>
  <c r="K81" i="43" s="1"/>
  <c r="I80" i="43"/>
  <c r="K80" i="43" s="1"/>
  <c r="I79" i="43"/>
  <c r="K79" i="43" s="1"/>
  <c r="K78" i="43"/>
  <c r="I78" i="43"/>
  <c r="I77" i="43"/>
  <c r="K77" i="43" s="1"/>
  <c r="I76" i="43"/>
  <c r="K76" i="43" s="1"/>
  <c r="I75" i="43"/>
  <c r="K75" i="43" s="1"/>
  <c r="I74" i="43"/>
  <c r="K74" i="43" s="1"/>
  <c r="I73" i="43"/>
  <c r="K73" i="43" s="1"/>
  <c r="I72" i="43"/>
  <c r="K72" i="43" s="1"/>
  <c r="I71" i="43"/>
  <c r="K71" i="43" s="1"/>
  <c r="I70" i="43"/>
  <c r="K70" i="43" s="1"/>
  <c r="I69" i="43"/>
  <c r="K69" i="43" s="1"/>
  <c r="I68" i="43"/>
  <c r="K68" i="43" s="1"/>
  <c r="I66" i="43"/>
  <c r="K66" i="43" s="1"/>
  <c r="I65" i="43"/>
  <c r="K65" i="43" s="1"/>
  <c r="I64" i="43"/>
  <c r="K64" i="43" s="1"/>
  <c r="I63" i="43"/>
  <c r="K63" i="43" s="1"/>
  <c r="I62" i="43"/>
  <c r="K62" i="43" s="1"/>
  <c r="I61" i="43"/>
  <c r="K61" i="43" s="1"/>
  <c r="I60" i="43"/>
  <c r="K60" i="43" s="1"/>
  <c r="I59" i="43"/>
  <c r="K59" i="43" s="1"/>
  <c r="K58" i="43"/>
  <c r="I58" i="43"/>
  <c r="I57" i="43"/>
  <c r="K57" i="43" s="1"/>
  <c r="I56" i="43"/>
  <c r="I55" i="43"/>
  <c r="K55" i="43" s="1"/>
  <c r="I54" i="43"/>
  <c r="K54" i="43" s="1"/>
  <c r="I53" i="43"/>
  <c r="K53" i="43" s="1"/>
  <c r="I52" i="43"/>
  <c r="K52" i="43" s="1"/>
  <c r="I51" i="43"/>
  <c r="K51" i="43" s="1"/>
  <c r="I50" i="43"/>
  <c r="K50" i="43" s="1"/>
  <c r="I49" i="43"/>
  <c r="K49" i="43" s="1"/>
  <c r="I48" i="43"/>
  <c r="K48" i="43" s="1"/>
  <c r="I47" i="43"/>
  <c r="K47" i="43" s="1"/>
  <c r="I46" i="43"/>
  <c r="K46" i="43" s="1"/>
  <c r="I45" i="43"/>
  <c r="K45" i="43" s="1"/>
  <c r="I44" i="43"/>
  <c r="K44" i="43" s="1"/>
  <c r="I43" i="43"/>
  <c r="K43" i="43" s="1"/>
  <c r="I42" i="43"/>
  <c r="K42" i="43" s="1"/>
  <c r="I41" i="43"/>
  <c r="K41" i="43" s="1"/>
  <c r="I40" i="43"/>
  <c r="K40" i="43" s="1"/>
  <c r="I39" i="43"/>
  <c r="I38" i="43"/>
  <c r="K38" i="43" s="1"/>
  <c r="I37" i="43"/>
  <c r="K37" i="43" s="1"/>
  <c r="I36" i="43"/>
  <c r="K36" i="43" s="1"/>
  <c r="I35" i="43"/>
  <c r="K35" i="43" s="1"/>
  <c r="I34" i="43"/>
  <c r="K34" i="43" s="1"/>
  <c r="K32" i="43"/>
  <c r="I32" i="43"/>
  <c r="I31" i="43"/>
  <c r="K31" i="43" s="1"/>
  <c r="I30" i="43"/>
  <c r="K30" i="43" s="1"/>
  <c r="I29" i="43"/>
  <c r="K29" i="43" s="1"/>
  <c r="I28" i="43"/>
  <c r="K28" i="43" s="1"/>
  <c r="I27" i="43"/>
  <c r="K27" i="43" s="1"/>
  <c r="I26" i="43"/>
  <c r="K26" i="43" s="1"/>
  <c r="K25" i="43"/>
  <c r="I25" i="43"/>
  <c r="I24" i="43"/>
  <c r="K24" i="43" s="1"/>
  <c r="I23" i="43"/>
  <c r="K23" i="43" s="1"/>
  <c r="I22" i="43"/>
  <c r="K22" i="43" s="1"/>
  <c r="I21" i="43"/>
  <c r="C116" i="43"/>
  <c r="H18" i="43"/>
  <c r="G18" i="43"/>
  <c r="F18" i="43"/>
  <c r="E18" i="43"/>
  <c r="D18" i="43"/>
  <c r="K17" i="43"/>
  <c r="I17" i="43"/>
  <c r="I16" i="43"/>
  <c r="K16" i="43" s="1"/>
  <c r="K15" i="43"/>
  <c r="I15" i="43"/>
  <c r="I14" i="43"/>
  <c r="K14" i="43" s="1"/>
  <c r="I13" i="43"/>
  <c r="K13" i="43" s="1"/>
  <c r="I12" i="43"/>
  <c r="K12" i="43" s="1"/>
  <c r="I11" i="43"/>
  <c r="C10" i="43"/>
  <c r="C18" i="43" s="1"/>
  <c r="I9" i="43"/>
  <c r="K9" i="43" s="1"/>
  <c r="L10" i="43" l="1"/>
  <c r="L13" i="43"/>
  <c r="K21" i="43"/>
  <c r="K39" i="43"/>
  <c r="K56" i="43"/>
  <c r="I18" i="43"/>
  <c r="L9" i="43"/>
  <c r="L12" i="43"/>
  <c r="L17" i="43"/>
  <c r="L18" i="43" s="1"/>
  <c r="K18" i="43"/>
  <c r="L11" i="43"/>
  <c r="I10" i="43"/>
  <c r="J108" i="43"/>
  <c r="L105" i="43" s="1"/>
  <c r="I108" i="43"/>
  <c r="L42" i="43" l="1"/>
  <c r="L36" i="43"/>
  <c r="L97" i="43"/>
  <c r="L91" i="43"/>
  <c r="L95" i="43"/>
  <c r="L54" i="43"/>
  <c r="L49" i="43"/>
  <c r="L103" i="43"/>
  <c r="C117" i="43"/>
  <c r="C118" i="43" s="1"/>
  <c r="C125" i="43" s="1"/>
  <c r="L68" i="43"/>
  <c r="L43" i="43"/>
  <c r="L98" i="43"/>
  <c r="L26" i="43"/>
  <c r="L104" i="43"/>
  <c r="L76" i="43"/>
  <c r="L57" i="43"/>
  <c r="L47" i="43"/>
  <c r="L77" i="43"/>
  <c r="L27" i="43"/>
  <c r="L53" i="43"/>
  <c r="L80" i="43"/>
  <c r="L63" i="43"/>
  <c r="L61" i="43"/>
  <c r="L37" i="43"/>
  <c r="L74" i="43"/>
  <c r="L89" i="43"/>
  <c r="L31" i="43"/>
  <c r="L62" i="43"/>
  <c r="L92" i="43"/>
  <c r="L22" i="43"/>
  <c r="L75" i="43"/>
  <c r="L34" i="43"/>
  <c r="L78" i="43"/>
  <c r="K108" i="43"/>
  <c r="L44" i="43"/>
  <c r="L87" i="43"/>
  <c r="L59" i="43"/>
  <c r="L60" i="43"/>
  <c r="L85" i="43"/>
  <c r="L108" i="43"/>
  <c r="L45" i="43"/>
  <c r="L66" i="43"/>
  <c r="L84" i="43"/>
  <c r="L50" i="43"/>
  <c r="L40" i="43"/>
  <c r="L71" i="43"/>
  <c r="L106" i="43"/>
  <c r="L29" i="43"/>
  <c r="L56" i="43"/>
  <c r="L90" i="43"/>
  <c r="L73" i="43"/>
  <c r="L93" i="43"/>
  <c r="L23" i="43"/>
  <c r="L41" i="43"/>
  <c r="L58" i="43"/>
  <c r="L72" i="43"/>
  <c r="L88" i="43"/>
  <c r="L32" i="43"/>
  <c r="L69" i="43"/>
  <c r="L30" i="43"/>
  <c r="L48" i="43"/>
  <c r="L65" i="43"/>
  <c r="L79" i="43"/>
  <c r="L96" i="43"/>
  <c r="L24" i="43"/>
  <c r="L21" i="43"/>
  <c r="L38" i="43"/>
  <c r="L51" i="43"/>
  <c r="L64" i="43"/>
  <c r="L82" i="43"/>
  <c r="L99" i="43"/>
  <c r="L46" i="43"/>
  <c r="L81" i="43"/>
  <c r="L35" i="43"/>
  <c r="L52" i="43"/>
  <c r="L67" i="43"/>
  <c r="L83" i="43"/>
  <c r="L102" i="43"/>
  <c r="L28" i="43"/>
  <c r="L25" i="43"/>
  <c r="L39" i="43"/>
  <c r="L55" i="43"/>
  <c r="L70" i="43"/>
  <c r="L86" i="43"/>
  <c r="J108" i="42"/>
  <c r="H108" i="42"/>
  <c r="G108" i="42"/>
  <c r="F108" i="42"/>
  <c r="E108" i="42"/>
  <c r="D108" i="42"/>
  <c r="C108" i="42"/>
  <c r="I106" i="42"/>
  <c r="K106" i="42" s="1"/>
  <c r="I105" i="42"/>
  <c r="K105" i="42" s="1"/>
  <c r="I104" i="42"/>
  <c r="K104" i="42" s="1"/>
  <c r="I103" i="42"/>
  <c r="K103" i="42" s="1"/>
  <c r="I102" i="42"/>
  <c r="K102" i="42" s="1"/>
  <c r="I99" i="42"/>
  <c r="K99" i="42" s="1"/>
  <c r="I98" i="42"/>
  <c r="K98" i="42" s="1"/>
  <c r="I97" i="42"/>
  <c r="K97" i="42" s="1"/>
  <c r="I96" i="42"/>
  <c r="K96" i="42" s="1"/>
  <c r="I95" i="42"/>
  <c r="K95" i="42" s="1"/>
  <c r="I93" i="42"/>
  <c r="K93" i="42" s="1"/>
  <c r="I92" i="42"/>
  <c r="K92" i="42" s="1"/>
  <c r="I91" i="42"/>
  <c r="K91" i="42" s="1"/>
  <c r="I90" i="42"/>
  <c r="K90" i="42" s="1"/>
  <c r="I89" i="42"/>
  <c r="K89" i="42" s="1"/>
  <c r="I88" i="42"/>
  <c r="K88" i="42" s="1"/>
  <c r="I87" i="42"/>
  <c r="K87" i="42" s="1"/>
  <c r="I86" i="42"/>
  <c r="K86" i="42" s="1"/>
  <c r="I85" i="42"/>
  <c r="K85" i="42" s="1"/>
  <c r="I84" i="42"/>
  <c r="K84" i="42" s="1"/>
  <c r="I83" i="42"/>
  <c r="K83" i="42" s="1"/>
  <c r="I82" i="42"/>
  <c r="K82" i="42" s="1"/>
  <c r="I81" i="42"/>
  <c r="K81" i="42" s="1"/>
  <c r="I80" i="42"/>
  <c r="K80" i="42" s="1"/>
  <c r="I79" i="42"/>
  <c r="K79" i="42" s="1"/>
  <c r="I78" i="42"/>
  <c r="K78" i="42" s="1"/>
  <c r="I77" i="42"/>
  <c r="K77" i="42" s="1"/>
  <c r="I76" i="42"/>
  <c r="K76" i="42" s="1"/>
  <c r="I75" i="42"/>
  <c r="K75" i="42" s="1"/>
  <c r="I74" i="42"/>
  <c r="K74" i="42" s="1"/>
  <c r="I73" i="42"/>
  <c r="K73" i="42" s="1"/>
  <c r="I72" i="42"/>
  <c r="K72" i="42" s="1"/>
  <c r="I71" i="42"/>
  <c r="K71" i="42" s="1"/>
  <c r="I70" i="42"/>
  <c r="K70" i="42" s="1"/>
  <c r="I69" i="42"/>
  <c r="K69" i="42" s="1"/>
  <c r="I68" i="42"/>
  <c r="K68" i="42" s="1"/>
  <c r="I66" i="42"/>
  <c r="K66" i="42" s="1"/>
  <c r="I65" i="42"/>
  <c r="K65" i="42" s="1"/>
  <c r="I64" i="42"/>
  <c r="K64" i="42" s="1"/>
  <c r="I63" i="42"/>
  <c r="K63" i="42" s="1"/>
  <c r="I62" i="42"/>
  <c r="K62" i="42" s="1"/>
  <c r="I61" i="42"/>
  <c r="K61" i="42" s="1"/>
  <c r="I60" i="42"/>
  <c r="K60" i="42" s="1"/>
  <c r="I59" i="42"/>
  <c r="K59" i="42" s="1"/>
  <c r="I58" i="42"/>
  <c r="K58" i="42" s="1"/>
  <c r="I57" i="42"/>
  <c r="K57" i="42" s="1"/>
  <c r="I56" i="42"/>
  <c r="K56" i="42" s="1"/>
  <c r="I55" i="42"/>
  <c r="K55" i="42" s="1"/>
  <c r="I54" i="42"/>
  <c r="K54" i="42" s="1"/>
  <c r="I53" i="42"/>
  <c r="K53" i="42" s="1"/>
  <c r="I52" i="42"/>
  <c r="K52" i="42" s="1"/>
  <c r="I51" i="42"/>
  <c r="K51" i="42" s="1"/>
  <c r="I50" i="42"/>
  <c r="K50" i="42" s="1"/>
  <c r="I49" i="42"/>
  <c r="K49" i="42" s="1"/>
  <c r="I48" i="42"/>
  <c r="K48" i="42" s="1"/>
  <c r="I47" i="42"/>
  <c r="K47" i="42" s="1"/>
  <c r="I46" i="42"/>
  <c r="K46" i="42" s="1"/>
  <c r="I45" i="42"/>
  <c r="K45" i="42" s="1"/>
  <c r="I44" i="42"/>
  <c r="K44" i="42" s="1"/>
  <c r="I43" i="42"/>
  <c r="K43" i="42" s="1"/>
  <c r="I42" i="42"/>
  <c r="K42" i="42" s="1"/>
  <c r="I41" i="42"/>
  <c r="K41" i="42" s="1"/>
  <c r="I40" i="42"/>
  <c r="K40" i="42" s="1"/>
  <c r="I39" i="42"/>
  <c r="K39" i="42" s="1"/>
  <c r="I38" i="42"/>
  <c r="K38" i="42" s="1"/>
  <c r="I37" i="42"/>
  <c r="K37" i="42" s="1"/>
  <c r="I36" i="42"/>
  <c r="K36" i="42" s="1"/>
  <c r="I35" i="42"/>
  <c r="K35" i="42" s="1"/>
  <c r="I34" i="42"/>
  <c r="K34" i="42" s="1"/>
  <c r="I32" i="42"/>
  <c r="K32" i="42" s="1"/>
  <c r="I31" i="42"/>
  <c r="K31" i="42" s="1"/>
  <c r="I30" i="42"/>
  <c r="K30" i="42" s="1"/>
  <c r="I29" i="42"/>
  <c r="K29" i="42" s="1"/>
  <c r="I28" i="42"/>
  <c r="K28" i="42" s="1"/>
  <c r="I27" i="42"/>
  <c r="K27" i="42" s="1"/>
  <c r="I26" i="42"/>
  <c r="K26" i="42" s="1"/>
  <c r="I25" i="42"/>
  <c r="K25" i="42" s="1"/>
  <c r="I24" i="42"/>
  <c r="K24" i="42" s="1"/>
  <c r="I23" i="42"/>
  <c r="K23" i="42" s="1"/>
  <c r="I22" i="42"/>
  <c r="K22" i="42" s="1"/>
  <c r="I21" i="42"/>
  <c r="K21" i="42" s="1"/>
  <c r="H18" i="42"/>
  <c r="G18" i="42"/>
  <c r="F18" i="42"/>
  <c r="E18" i="42"/>
  <c r="D18" i="42"/>
  <c r="K17" i="42"/>
  <c r="I17" i="42"/>
  <c r="I16" i="42"/>
  <c r="K16" i="42" s="1"/>
  <c r="I15" i="42"/>
  <c r="K15" i="42" s="1"/>
  <c r="I14" i="42"/>
  <c r="K14" i="42" s="1"/>
  <c r="I13" i="42"/>
  <c r="K13" i="42" s="1"/>
  <c r="I12" i="42"/>
  <c r="K12" i="42" s="1"/>
  <c r="J18" i="42"/>
  <c r="C116" i="42" s="1"/>
  <c r="I11" i="42"/>
  <c r="C10" i="42"/>
  <c r="C18" i="42" s="1"/>
  <c r="I9" i="42"/>
  <c r="K9" i="42" s="1"/>
  <c r="C117" i="42" l="1"/>
  <c r="C118" i="42" s="1"/>
  <c r="I10" i="42"/>
  <c r="L36" i="42"/>
  <c r="L60" i="42"/>
  <c r="L27" i="42"/>
  <c r="L52" i="42"/>
  <c r="L83" i="42"/>
  <c r="L44" i="42"/>
  <c r="L75" i="42"/>
  <c r="L23" i="42"/>
  <c r="L31" i="42"/>
  <c r="L40" i="42"/>
  <c r="L48" i="42"/>
  <c r="L56" i="42"/>
  <c r="L64" i="42"/>
  <c r="L67" i="42"/>
  <c r="L71" i="42"/>
  <c r="L79" i="42"/>
  <c r="L87" i="42"/>
  <c r="K18" i="42"/>
  <c r="K108" i="42"/>
  <c r="L22" i="42"/>
  <c r="L26" i="42"/>
  <c r="L30" i="42"/>
  <c r="L35" i="42"/>
  <c r="L39" i="42"/>
  <c r="L43" i="42"/>
  <c r="L47" i="42"/>
  <c r="L51" i="42"/>
  <c r="L55" i="42"/>
  <c r="L59" i="42"/>
  <c r="L63" i="42"/>
  <c r="L68" i="42"/>
  <c r="L72" i="42"/>
  <c r="L76" i="42"/>
  <c r="L80" i="42"/>
  <c r="L84" i="42"/>
  <c r="L88" i="42"/>
  <c r="L21" i="42"/>
  <c r="L24" i="42"/>
  <c r="L25" i="42"/>
  <c r="L28" i="42"/>
  <c r="L29" i="42"/>
  <c r="L32" i="42"/>
  <c r="L34" i="42"/>
  <c r="L37" i="42"/>
  <c r="L38" i="42"/>
  <c r="L41" i="42"/>
  <c r="L42" i="42"/>
  <c r="L45" i="42"/>
  <c r="L46" i="42"/>
  <c r="L49" i="42"/>
  <c r="L50" i="42"/>
  <c r="L53" i="42"/>
  <c r="L54" i="42"/>
  <c r="L57" i="42"/>
  <c r="L58" i="42"/>
  <c r="L61" i="42"/>
  <c r="L62" i="42"/>
  <c r="L65" i="42"/>
  <c r="L66" i="42"/>
  <c r="L69" i="42"/>
  <c r="L70" i="42"/>
  <c r="L73" i="42"/>
  <c r="L74" i="42"/>
  <c r="L77" i="42"/>
  <c r="L78" i="42"/>
  <c r="L81" i="42"/>
  <c r="L82" i="42"/>
  <c r="L85" i="42"/>
  <c r="L86" i="42"/>
  <c r="L89" i="42"/>
  <c r="L90" i="42"/>
  <c r="L93" i="42"/>
  <c r="L95" i="42"/>
  <c r="L98" i="42"/>
  <c r="L99" i="42"/>
  <c r="L104" i="42"/>
  <c r="L105" i="42"/>
  <c r="L91" i="42"/>
  <c r="L92" i="42"/>
  <c r="L96" i="42"/>
  <c r="L97" i="42"/>
  <c r="L102" i="42"/>
  <c r="L103" i="42"/>
  <c r="L106" i="42"/>
  <c r="L17" i="42"/>
  <c r="L18" i="42" s="1"/>
  <c r="L12" i="42"/>
  <c r="L10" i="42"/>
  <c r="L13" i="42"/>
  <c r="L9" i="42"/>
  <c r="L11" i="42"/>
  <c r="I18" i="42"/>
  <c r="I108" i="42"/>
  <c r="L108" i="42"/>
  <c r="E108" i="41"/>
  <c r="C125" i="42" l="1"/>
  <c r="C127" i="42" s="1"/>
  <c r="J11" i="41"/>
  <c r="C122" i="41"/>
  <c r="C123" i="41"/>
  <c r="C125" i="41" l="1"/>
  <c r="I24" i="41"/>
  <c r="K24" i="41" s="1"/>
  <c r="C10" i="41"/>
  <c r="J108" i="41" l="1"/>
  <c r="H108" i="41"/>
  <c r="D108" i="41"/>
  <c r="C108" i="41"/>
  <c r="I106" i="41"/>
  <c r="K106" i="41" s="1"/>
  <c r="I105" i="41"/>
  <c r="K105" i="41" s="1"/>
  <c r="I104" i="41"/>
  <c r="K104" i="41" s="1"/>
  <c r="I103" i="41"/>
  <c r="K103" i="41" s="1"/>
  <c r="I102" i="41"/>
  <c r="K102" i="41" s="1"/>
  <c r="I99" i="41"/>
  <c r="K99" i="41" s="1"/>
  <c r="I98" i="41"/>
  <c r="K98" i="41" s="1"/>
  <c r="I97" i="41"/>
  <c r="K97" i="41" s="1"/>
  <c r="I96" i="41"/>
  <c r="K96" i="41" s="1"/>
  <c r="I95" i="41"/>
  <c r="K95" i="41" s="1"/>
  <c r="I93" i="41"/>
  <c r="K93" i="41" s="1"/>
  <c r="I92" i="41"/>
  <c r="K92" i="41" s="1"/>
  <c r="I91" i="41"/>
  <c r="K91" i="41" s="1"/>
  <c r="I90" i="41"/>
  <c r="K90" i="41" s="1"/>
  <c r="I89" i="41"/>
  <c r="K89" i="41" s="1"/>
  <c r="I88" i="41"/>
  <c r="K88" i="41" s="1"/>
  <c r="I87" i="41"/>
  <c r="K87" i="41" s="1"/>
  <c r="I86" i="41"/>
  <c r="K86" i="41" s="1"/>
  <c r="I85" i="41"/>
  <c r="K85" i="41" s="1"/>
  <c r="I84" i="41"/>
  <c r="K84" i="41" s="1"/>
  <c r="I83" i="41"/>
  <c r="K83" i="41" s="1"/>
  <c r="I82" i="41"/>
  <c r="K82" i="41" s="1"/>
  <c r="I81" i="41"/>
  <c r="K81" i="41" s="1"/>
  <c r="I80" i="41"/>
  <c r="K80" i="41" s="1"/>
  <c r="I79" i="41"/>
  <c r="K79" i="41" s="1"/>
  <c r="I78" i="41"/>
  <c r="K78" i="41" s="1"/>
  <c r="I77" i="41"/>
  <c r="K77" i="41" s="1"/>
  <c r="I76" i="41"/>
  <c r="K76" i="41" s="1"/>
  <c r="I75" i="41"/>
  <c r="K75" i="41" s="1"/>
  <c r="I74" i="41"/>
  <c r="K74" i="41" s="1"/>
  <c r="I73" i="41"/>
  <c r="K73" i="41" s="1"/>
  <c r="I72" i="41"/>
  <c r="K72" i="41" s="1"/>
  <c r="I71" i="41"/>
  <c r="K71" i="41" s="1"/>
  <c r="I70" i="41"/>
  <c r="K70" i="41" s="1"/>
  <c r="I69" i="41"/>
  <c r="K69" i="41" s="1"/>
  <c r="I68" i="41"/>
  <c r="K68" i="41" s="1"/>
  <c r="I66" i="41"/>
  <c r="K66" i="41" s="1"/>
  <c r="I65" i="41"/>
  <c r="K65" i="41" s="1"/>
  <c r="I64" i="41"/>
  <c r="K64" i="41" s="1"/>
  <c r="I63" i="41"/>
  <c r="K63" i="41" s="1"/>
  <c r="I62" i="41"/>
  <c r="K62" i="41" s="1"/>
  <c r="I61" i="41"/>
  <c r="K61" i="41" s="1"/>
  <c r="I60" i="41"/>
  <c r="K60" i="41" s="1"/>
  <c r="I59" i="41"/>
  <c r="K59" i="41" s="1"/>
  <c r="I58" i="41"/>
  <c r="K58" i="41" s="1"/>
  <c r="I57" i="41"/>
  <c r="K57" i="41" s="1"/>
  <c r="I56" i="41"/>
  <c r="K56" i="41" s="1"/>
  <c r="I55" i="41"/>
  <c r="K55" i="41" s="1"/>
  <c r="I54" i="41"/>
  <c r="K54" i="41" s="1"/>
  <c r="I53" i="41"/>
  <c r="K53" i="41" s="1"/>
  <c r="G108" i="41"/>
  <c r="I52" i="41"/>
  <c r="K52" i="41" s="1"/>
  <c r="I51" i="41"/>
  <c r="K51" i="41" s="1"/>
  <c r="I50" i="41"/>
  <c r="K50" i="41" s="1"/>
  <c r="I49" i="41"/>
  <c r="K49" i="41" s="1"/>
  <c r="I48" i="41"/>
  <c r="K48" i="41" s="1"/>
  <c r="I47" i="41"/>
  <c r="K47" i="41" s="1"/>
  <c r="I46" i="41"/>
  <c r="K46" i="41" s="1"/>
  <c r="I45" i="41"/>
  <c r="K45" i="41" s="1"/>
  <c r="I44" i="41"/>
  <c r="K44" i="41" s="1"/>
  <c r="I43" i="41"/>
  <c r="K43" i="41" s="1"/>
  <c r="I42" i="41"/>
  <c r="K42" i="41" s="1"/>
  <c r="I41" i="41"/>
  <c r="K41" i="41" s="1"/>
  <c r="I40" i="41"/>
  <c r="K40" i="41" s="1"/>
  <c r="F108" i="41"/>
  <c r="I38" i="41"/>
  <c r="K38" i="41" s="1"/>
  <c r="I37" i="41"/>
  <c r="K37" i="41" s="1"/>
  <c r="I36" i="41"/>
  <c r="K36" i="41" s="1"/>
  <c r="I35" i="41"/>
  <c r="K35" i="41" s="1"/>
  <c r="I34" i="41"/>
  <c r="K34" i="41" s="1"/>
  <c r="I32" i="41"/>
  <c r="K32" i="41" s="1"/>
  <c r="I31" i="41"/>
  <c r="K31" i="41" s="1"/>
  <c r="I30" i="41"/>
  <c r="K30" i="41" s="1"/>
  <c r="I29" i="41"/>
  <c r="K29" i="41" s="1"/>
  <c r="I28" i="41"/>
  <c r="K28" i="41" s="1"/>
  <c r="I27" i="41"/>
  <c r="K27" i="41" s="1"/>
  <c r="I26" i="41"/>
  <c r="K26" i="41" s="1"/>
  <c r="I25" i="41"/>
  <c r="K25" i="41" s="1"/>
  <c r="I23" i="41"/>
  <c r="K23" i="41" s="1"/>
  <c r="I22" i="41"/>
  <c r="K22" i="41" s="1"/>
  <c r="I21" i="41"/>
  <c r="K21" i="41" s="1"/>
  <c r="H18" i="41"/>
  <c r="G18" i="41"/>
  <c r="F18" i="41"/>
  <c r="E18" i="41"/>
  <c r="D18" i="41"/>
  <c r="C18" i="41"/>
  <c r="K17" i="41"/>
  <c r="I17" i="41"/>
  <c r="I16" i="41"/>
  <c r="K16" i="41" s="1"/>
  <c r="I14" i="41"/>
  <c r="K14" i="41" s="1"/>
  <c r="I15" i="41"/>
  <c r="K15" i="41" s="1"/>
  <c r="I13" i="41"/>
  <c r="K13" i="41" s="1"/>
  <c r="I12" i="41"/>
  <c r="K12" i="41" s="1"/>
  <c r="I11" i="41"/>
  <c r="J18" i="41"/>
  <c r="I10" i="41"/>
  <c r="I9" i="41"/>
  <c r="K9" i="41" s="1"/>
  <c r="L108" i="41" l="1"/>
  <c r="L24" i="41"/>
  <c r="L31" i="41"/>
  <c r="L46" i="41"/>
  <c r="K18" i="41"/>
  <c r="L66" i="41"/>
  <c r="L37" i="41"/>
  <c r="L63" i="41"/>
  <c r="L88" i="41"/>
  <c r="L92" i="41"/>
  <c r="L49" i="41"/>
  <c r="L68" i="41"/>
  <c r="L76" i="41"/>
  <c r="L79" i="41"/>
  <c r="L25" i="41"/>
  <c r="L28" i="41"/>
  <c r="L30" i="41"/>
  <c r="L34" i="41"/>
  <c r="L41" i="41"/>
  <c r="L42" i="41"/>
  <c r="L43" i="41"/>
  <c r="L48" i="41"/>
  <c r="L56" i="41"/>
  <c r="L60" i="41"/>
  <c r="L62" i="41"/>
  <c r="L65" i="41"/>
  <c r="L67" i="41"/>
  <c r="L87" i="41"/>
  <c r="L105" i="41"/>
  <c r="L23" i="41"/>
  <c r="L27" i="41"/>
  <c r="L40" i="41"/>
  <c r="L45" i="41"/>
  <c r="L52" i="41"/>
  <c r="L53" i="41"/>
  <c r="L58" i="41"/>
  <c r="L59" i="41"/>
  <c r="L75" i="41"/>
  <c r="L83" i="41"/>
  <c r="L85" i="41"/>
  <c r="L96" i="41"/>
  <c r="L102" i="41"/>
  <c r="L104" i="41"/>
  <c r="C117" i="41"/>
  <c r="L22" i="41"/>
  <c r="L26" i="41"/>
  <c r="L35" i="41"/>
  <c r="L38" i="41"/>
  <c r="L51" i="41"/>
  <c r="L55" i="41"/>
  <c r="L64" i="41"/>
  <c r="L69" i="41"/>
  <c r="L70" i="41"/>
  <c r="L72" i="41"/>
  <c r="L80" i="41"/>
  <c r="L82" i="41"/>
  <c r="L98" i="41"/>
  <c r="L99" i="41"/>
  <c r="L73" i="41"/>
  <c r="L84" i="41"/>
  <c r="L86" i="41"/>
  <c r="L89" i="41"/>
  <c r="L91" i="41"/>
  <c r="L95" i="41"/>
  <c r="L106" i="41"/>
  <c r="L21" i="41"/>
  <c r="L29" i="41"/>
  <c r="L32" i="41"/>
  <c r="L36" i="41"/>
  <c r="L39" i="41"/>
  <c r="L44" i="41"/>
  <c r="L47" i="41"/>
  <c r="L50" i="41"/>
  <c r="L54" i="41"/>
  <c r="L57" i="41"/>
  <c r="L61" i="41"/>
  <c r="L71" i="41"/>
  <c r="L74" i="41"/>
  <c r="L77" i="41"/>
  <c r="L78" i="41"/>
  <c r="L81" i="41"/>
  <c r="L90" i="41"/>
  <c r="L93" i="41"/>
  <c r="L97" i="41"/>
  <c r="L103" i="41"/>
  <c r="L13" i="41"/>
  <c r="L12" i="41"/>
  <c r="L11" i="41"/>
  <c r="L10" i="41"/>
  <c r="L9" i="41"/>
  <c r="C116" i="41"/>
  <c r="L17" i="41"/>
  <c r="L18" i="41" s="1"/>
  <c r="I18" i="41"/>
  <c r="I39" i="41"/>
  <c r="K39" i="41" s="1"/>
  <c r="K108" i="41" s="1"/>
  <c r="C118" i="41" l="1"/>
  <c r="C128" i="41" s="1"/>
  <c r="I108" i="41"/>
  <c r="K9" i="44" l="1"/>
  <c r="K18" i="44" s="1"/>
  <c r="J18" i="44"/>
  <c r="L11" i="44" s="1"/>
  <c r="L10" i="44" l="1"/>
  <c r="L9" i="44"/>
  <c r="L12" i="44"/>
  <c r="C116" i="44"/>
  <c r="C118" i="44" s="1"/>
  <c r="C125" i="44" s="1"/>
  <c r="C127" i="44" s="1"/>
  <c r="L17" i="44"/>
  <c r="L18" i="44" s="1"/>
  <c r="L13" i="44"/>
</calcChain>
</file>

<file path=xl/sharedStrings.xml><?xml version="1.0" encoding="utf-8"?>
<sst xmlns="http://schemas.openxmlformats.org/spreadsheetml/2006/main" count="1890" uniqueCount="196">
  <si>
    <t>(Cifras expresadas en quetzales)</t>
  </si>
  <si>
    <t>Presupuesto</t>
  </si>
  <si>
    <t>Ejecutado</t>
  </si>
  <si>
    <t>Autorizado</t>
  </si>
  <si>
    <t>Vigente</t>
  </si>
  <si>
    <t>No. Ren.</t>
  </si>
  <si>
    <t>TOTAL INGRESOS</t>
  </si>
  <si>
    <t>TOTAL EGRESOS</t>
  </si>
  <si>
    <t>RESUMEN</t>
  </si>
  <si>
    <t>SERVICIOS  PERSONALES.</t>
  </si>
  <si>
    <t>SERVICIOS  NO  PERSONALES.</t>
  </si>
  <si>
    <t>MATERIALES Y SUMINISTROS.</t>
  </si>
  <si>
    <t>PROPIEDAD, PLANTA Y EQUIPO.</t>
  </si>
  <si>
    <t>TRANSFERENCIAS CORRIENTES.</t>
  </si>
  <si>
    <t>011</t>
  </si>
  <si>
    <t>015</t>
  </si>
  <si>
    <t>051</t>
  </si>
  <si>
    <t>052</t>
  </si>
  <si>
    <t>071</t>
  </si>
  <si>
    <t>072</t>
  </si>
  <si>
    <t>073</t>
  </si>
  <si>
    <t>041</t>
  </si>
  <si>
    <t>Servicios Extraordinarios Personal Permanente</t>
  </si>
  <si>
    <t>Fletes</t>
  </si>
  <si>
    <t>Alimentos para Personas</t>
  </si>
  <si>
    <t>Otros Alimentos y Productos Agropecuarios</t>
  </si>
  <si>
    <t>Accesorios y Repuestos en General</t>
  </si>
  <si>
    <t>11.9.90</t>
  </si>
  <si>
    <t>Contadora</t>
  </si>
  <si>
    <t xml:space="preserve">Disponible  o </t>
  </si>
  <si>
    <t>Pend. Recibir</t>
  </si>
  <si>
    <t>Porcen-</t>
  </si>
  <si>
    <t>taje</t>
  </si>
  <si>
    <t>gros</t>
  </si>
  <si>
    <t>014</t>
  </si>
  <si>
    <t>Complemento por Calidad Profesional al Personal P.</t>
  </si>
  <si>
    <t>Arrendamiento de Medios de Transporte</t>
  </si>
  <si>
    <t>Impuestos, Derechos y Tasas</t>
  </si>
  <si>
    <t>Transferencias</t>
  </si>
  <si>
    <t>ASOCIACIÓN DEPORTIVA NACIONAL DE TIRO CON ARMAS DE CAZA</t>
  </si>
  <si>
    <t xml:space="preserve">DESCRIPCIÓN </t>
  </si>
  <si>
    <t>Llantas y Neumáticos</t>
  </si>
  <si>
    <t>Reinte-</t>
  </si>
  <si>
    <t>Complemento Específico al Personal Permanente</t>
  </si>
  <si>
    <t>Energía Eléctrica</t>
  </si>
  <si>
    <t>Mantenimiento y Rep. Equipos Educac. y Recreativos</t>
  </si>
  <si>
    <t>Mantenimiento y Reparación de Instalaciones</t>
  </si>
  <si>
    <t>Servicios de Informática y Sistemas Computarizados</t>
  </si>
  <si>
    <t>Productos de Papel o Cartón</t>
  </si>
  <si>
    <t>Productos de Artes Gráficas</t>
  </si>
  <si>
    <t>Libros, Revistas y Periódicos</t>
  </si>
  <si>
    <t>Artículos de Caucho</t>
  </si>
  <si>
    <t>Estructuras Metálicas Acabadas</t>
  </si>
  <si>
    <t>Telefonía</t>
  </si>
  <si>
    <t>Otros Ingresos No Tributarios</t>
  </si>
  <si>
    <t>Publicidad y Propaganda</t>
  </si>
  <si>
    <t>Viáticos en el Exterior</t>
  </si>
  <si>
    <t>Viáticos en el  Interior</t>
  </si>
  <si>
    <t>Mantenimiento y Reparación de Equipo de Oficina</t>
  </si>
  <si>
    <t>Mantenimiento y Reparación de Equipo de Cómputo</t>
  </si>
  <si>
    <t>Otros Servicios no Personales</t>
  </si>
  <si>
    <t>Servicios Médicos y Sanitarios</t>
  </si>
  <si>
    <t>Acabados Textiles</t>
  </si>
  <si>
    <t>Papel de Escritorio</t>
  </si>
  <si>
    <t>Combustibles y Lubricantes</t>
  </si>
  <si>
    <t>Productos Medicinales y Farmacéuticos</t>
  </si>
  <si>
    <t>Productos Plásticos, Nylon, Vinil y PVC</t>
  </si>
  <si>
    <t>Otros Productos Químicos y Conexos</t>
  </si>
  <si>
    <t>Productos de Arcilla</t>
  </si>
  <si>
    <t>Productos de Metal</t>
  </si>
  <si>
    <t>Útiles de Oficina</t>
  </si>
  <si>
    <t>Útiles de Limpieza y Productos Sanitarios</t>
  </si>
  <si>
    <t>Útiles Deportivos y Recreativos</t>
  </si>
  <si>
    <t>Útiles, Accesorios y Materiales Eléctricos</t>
  </si>
  <si>
    <t>Otros Materiales y Suministros</t>
  </si>
  <si>
    <t>Prendas de Vestir</t>
  </si>
  <si>
    <t>Transporte de Personas</t>
  </si>
  <si>
    <t>Indemnización al Personal</t>
  </si>
  <si>
    <t>Vacaciones Pagadas</t>
  </si>
  <si>
    <t>Otras transferencias a Personas</t>
  </si>
  <si>
    <t>Transferencias a Entidades Descent. y Autónomas</t>
  </si>
  <si>
    <t>Ingresos Percibidos</t>
  </si>
  <si>
    <t>Aguinaldo</t>
  </si>
  <si>
    <t>Bono Vacacional</t>
  </si>
  <si>
    <t>Personal Permanente</t>
  </si>
  <si>
    <t>Bonificación Anual Bono 14</t>
  </si>
  <si>
    <t>Impresión, Encuadernación y Reproducción</t>
  </si>
  <si>
    <t>Compensación por Kilómetro Recorrido</t>
  </si>
  <si>
    <t>Equipo de Oficina</t>
  </si>
  <si>
    <t>Equipo de Cómputo</t>
  </si>
  <si>
    <t>Otras Máquinas y Equipos</t>
  </si>
  <si>
    <t>SRA. VIVIAN CAROLINA GARCÍA MORALES</t>
  </si>
  <si>
    <t>Vo.Bo. VICTOR MANUEL ALVAREZ ALVAREZ</t>
  </si>
  <si>
    <t>Tintes, Pinturas y Colorantes</t>
  </si>
  <si>
    <t>Egresos Ejecutados</t>
  </si>
  <si>
    <t xml:space="preserve">  15</t>
  </si>
  <si>
    <t>Rentas de la Propiedad</t>
  </si>
  <si>
    <t>16.2.20</t>
  </si>
  <si>
    <t xml:space="preserve">C.D.A.G. Apoyo Econonomico </t>
  </si>
  <si>
    <t>C.D.A.G. Apoyo Económico Extraord. Juegos Nacionales</t>
  </si>
  <si>
    <t>035</t>
  </si>
  <si>
    <t>Retribución a Destajo</t>
  </si>
  <si>
    <t>Otros Viáticos y Gastos Conexos</t>
  </si>
  <si>
    <t>Derechos Bienes Intangibles</t>
  </si>
  <si>
    <t>Mantenimiento de Medios de Transporte</t>
  </si>
  <si>
    <t>Servicios Jurídicos</t>
  </si>
  <si>
    <t>Servicios Económicos Contables y Auditoría</t>
  </si>
  <si>
    <t>Servicios de Capacitación</t>
  </si>
  <si>
    <t>Servicios por Actuaciones Artisticas y Deportivas</t>
  </si>
  <si>
    <t>Servicios de Ingenieria y Arquitectura</t>
  </si>
  <si>
    <t>Otros Estudios y Servicios</t>
  </si>
  <si>
    <t>Primas y Seguros</t>
  </si>
  <si>
    <t>Otras Comisiones y Gastos Bancarios</t>
  </si>
  <si>
    <t>Servicio de Atención y Protocolo</t>
  </si>
  <si>
    <t>Útiles de Cocina y Comedor</t>
  </si>
  <si>
    <t>EGRESOS</t>
  </si>
  <si>
    <t>INGRESOS</t>
  </si>
  <si>
    <t>Saldo de Caja Ingresos Propios</t>
  </si>
  <si>
    <t>Transferencias a Organismos  Internacionales</t>
  </si>
  <si>
    <t>EJECUCIÓN PRESUPUESTARIA</t>
  </si>
  <si>
    <t>Resultado del Ejercicio</t>
  </si>
  <si>
    <t>Ejecución Presupuestaria</t>
  </si>
  <si>
    <t>Rentas Consignadas</t>
  </si>
  <si>
    <t xml:space="preserve">Retención de cuota laboral IGSS </t>
  </si>
  <si>
    <t>Correos y Telégrafos</t>
  </si>
  <si>
    <t>Cuota Patronal IGSS</t>
  </si>
  <si>
    <t>Aporte Patronal INTECAP</t>
  </si>
  <si>
    <t>Almacenaje</t>
  </si>
  <si>
    <t>Materiales y Equipos Diversos  (Munic)</t>
  </si>
  <si>
    <t>Ret.ISR Opcional Simp.,ISR Rentas Trab., ISR e IVA Fact. Esp.</t>
  </si>
  <si>
    <t>DEL 01 DE ENERO AL 31 DE ENERO DE 2015</t>
  </si>
  <si>
    <t>Saldo en Caja al 31 de Diciembre de 2014</t>
  </si>
  <si>
    <t>SALDO EN CAJA AL 31 DE ENERO DE 2015</t>
  </si>
  <si>
    <t>Asignaciones C.D.A.G. período 2015</t>
  </si>
  <si>
    <t>Asignaciones C.O.G. período 2015</t>
  </si>
  <si>
    <t>022</t>
  </si>
  <si>
    <t>Personal por contrato</t>
  </si>
  <si>
    <t>027</t>
  </si>
  <si>
    <t>Complementos específicos al personal temporal</t>
  </si>
  <si>
    <t xml:space="preserve">Arrendamiento de Instalaciones </t>
  </si>
  <si>
    <t xml:space="preserve">Equipo Medico Sanitario </t>
  </si>
  <si>
    <t>Equipo Educativo,Cultural y Recreativo (Escopetas)</t>
  </si>
  <si>
    <t>Traslado de fondos de la cuenta de Banco Gyt Continental CHN</t>
  </si>
  <si>
    <t>Apertura de fondo de caja chica</t>
  </si>
  <si>
    <t xml:space="preserve">C.O.G. Apoyo Económico </t>
  </si>
  <si>
    <t>Aumento</t>
  </si>
  <si>
    <t>Disminución</t>
  </si>
  <si>
    <t>Modificación</t>
  </si>
  <si>
    <t>COORDINADORA ADMINISTRATIVA FINANCIERA</t>
  </si>
  <si>
    <t xml:space="preserve">               TESORERO</t>
  </si>
  <si>
    <t>DEL 01 DE ENERO AL 28 DE FEBRERO DE 2015</t>
  </si>
  <si>
    <t>SALDO EN CAJA AL 28 DE FEBRERO DE 2015</t>
  </si>
  <si>
    <t>DR. PABLO MANUEL DUARTE SAENZ DE TEJADA</t>
  </si>
  <si>
    <t>SR.  VICTOR MANUEL ALVAREZ ALVAREZ</t>
  </si>
  <si>
    <t>PRESIDENTE</t>
  </si>
  <si>
    <t xml:space="preserve">TESORERO                       </t>
  </si>
  <si>
    <t>SRA. VIVIAN CAROLINA GARCIA MORALES</t>
  </si>
  <si>
    <t>Guatemala, 28 de Febrero de 2015</t>
  </si>
  <si>
    <t>Guatemala, 31 de Enero de 2015</t>
  </si>
  <si>
    <t>Guatemala, 31 de Marzo de 2015</t>
  </si>
  <si>
    <t>DEL 01 DE ENERO AL 31 DE MARZO DE 2015</t>
  </si>
  <si>
    <t>SALDO EN CAJA AL 31 DE MARZO DE 2015</t>
  </si>
  <si>
    <t>SALDO EN CAJA AL 30  DE ABRIL DE 2015</t>
  </si>
  <si>
    <t>Guatemala, 30  de Abril de 2015</t>
  </si>
  <si>
    <t>DEL 01 DE ENERO AL 30 DE ABRIL  DE 2015</t>
  </si>
  <si>
    <t>DEL 01 DE ENERO AL 31 DE MAYO  DE 2015</t>
  </si>
  <si>
    <t>SALDO EN CAJA AL 31  DE MAYO DE 2015</t>
  </si>
  <si>
    <t>Guatemala, 31  de Mayo de 2015</t>
  </si>
  <si>
    <t>SALDO EN CAJA AL 30  DE JUNIO DE 2015</t>
  </si>
  <si>
    <t>DEL 01 DE ENERO AL 30 DE JUNIO  DE 2015</t>
  </si>
  <si>
    <t>Guatemala, 30  de Junio de 2015</t>
  </si>
  <si>
    <t>Modificación I</t>
  </si>
  <si>
    <t>DEL 01 DE ENERO AL 31 DE JULIO  DE 2015</t>
  </si>
  <si>
    <t>Guatemala, 31  de Julio de 2015</t>
  </si>
  <si>
    <t>SALDO EN CAJA AL 31  DE JULIO DE 2015</t>
  </si>
  <si>
    <t>DEL 01 DE ENERO AL 31 DE AGOSTO  DE 2015</t>
  </si>
  <si>
    <t>SALDO EN CAJA AL 31 DE AGOSTO DE 2015</t>
  </si>
  <si>
    <t>Guatemala, 31 de Agosto de 2015</t>
  </si>
  <si>
    <t>PROPIEDAD, PLANTA, EQUIPO E INTANGIBLES.</t>
  </si>
  <si>
    <t>DEL 01 DE ENERO AL 30 DE SEPTIEMBRE DE 2015</t>
  </si>
  <si>
    <t>SALDO EN CAJA AL 30 DE SEPTIEMBRE DE 2015</t>
  </si>
  <si>
    <t>Guatemala, 30 de Septiembre de 2015</t>
  </si>
  <si>
    <t>DEL 01 DE ENERO AL 31 DE OCTUBRE DE 2015</t>
  </si>
  <si>
    <t>SALDO EN CAJA AL 31 DE OCTUBRE DE 2015</t>
  </si>
  <si>
    <t>Guatemala, 31 de Octubre de 2015</t>
  </si>
  <si>
    <t>DEL 01 DE ENERO AL 30 DE NOVIEMBRE DE 2015</t>
  </si>
  <si>
    <t>DEL 01 DE ENERO AL 31 DE DICIEMBRE DE 2015</t>
  </si>
  <si>
    <t>SALDO EN CAJA AL 30 DE NOVIEMBRE DE 2015</t>
  </si>
  <si>
    <t>Guatemala, 30 de Noviembre de 2015</t>
  </si>
  <si>
    <t>Guatemala, 31 de Diciembre de 2015</t>
  </si>
  <si>
    <t>SALDO EN CAJA AL 31 DE DICIEMBRE DE 2015</t>
  </si>
  <si>
    <t>Modificación II</t>
  </si>
  <si>
    <t>Modificación III</t>
  </si>
  <si>
    <t>CDAG. Apoyo Económico realizar Juegos Nacionales</t>
  </si>
  <si>
    <t xml:space="preserve">COG. Apoyo Económico </t>
  </si>
  <si>
    <t>CDAG. Apoyo Econonomico Extraordinario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</si>
</sst>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&quot;-&quot;??_);_(@_)"/>
    <numFmt numFmtId="165" formatCode="mmmm\ yy"/>
    <numFmt numFmtId="166" formatCode="#,##0.00\ _$;[Red]\-#,##0.00\ _$"/>
    <numFmt numFmtId="167" formatCode="#,##0.00_ ;\-#,##0.00\ "/>
  </numFmts>
  <fonts count="30">
    <font>
      <sz val="10"/>
      <name val="Arial"/>
    </font>
    <font>
      <sz val="10"/>
      <name val="Arial"/>
      <family val="2"/>
    </font>
    <font>
      <b/>
      <sz val="14"/>
      <name val="Conga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u/>
      <sz val="14"/>
      <color indexed="8"/>
      <name val="Arial"/>
      <family val="2"/>
    </font>
    <font>
      <b/>
      <sz val="14"/>
      <color indexed="12"/>
      <name val="Arial"/>
      <family val="2"/>
    </font>
    <font>
      <i/>
      <sz val="14"/>
      <name val="Arial"/>
      <family val="2"/>
    </font>
    <font>
      <i/>
      <sz val="14"/>
      <color indexed="8"/>
      <name val="Arial"/>
      <family val="2"/>
    </font>
    <font>
      <b/>
      <sz val="14"/>
      <name val="Arial"/>
      <family val="2"/>
    </font>
    <font>
      <sz val="9"/>
      <color indexed="8"/>
      <name val="Arial"/>
      <family val="2"/>
    </font>
    <font>
      <u/>
      <sz val="14"/>
      <name val="Arial"/>
      <family val="2"/>
    </font>
    <font>
      <sz val="13"/>
      <name val="Arial"/>
      <family val="2"/>
    </font>
    <font>
      <b/>
      <sz val="12"/>
      <color indexed="8"/>
      <name val="Arial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i/>
      <sz val="14"/>
      <color theme="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4" tint="-0.249977111117893"/>
      <name val="Arial"/>
      <family val="2"/>
    </font>
    <font>
      <b/>
      <sz val="8"/>
      <color indexed="8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i/>
      <sz val="11"/>
      <name val="Arial"/>
      <family val="2"/>
    </font>
    <font>
      <sz val="10"/>
      <color indexed="8"/>
      <name val="Arial"/>
      <family val="2"/>
    </font>
    <font>
      <sz val="14"/>
      <color rgb="FFFF0000"/>
      <name val="Arial"/>
      <family val="2"/>
    </font>
    <font>
      <sz val="11"/>
      <name val="Arial"/>
      <family val="2"/>
    </font>
    <font>
      <b/>
      <sz val="5"/>
      <color indexed="8"/>
      <name val="Arial"/>
      <family val="2"/>
    </font>
    <font>
      <sz val="7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9">
    <xf numFmtId="0" fontId="0" fillId="0" borderId="0" xfId="0"/>
    <xf numFmtId="0" fontId="3" fillId="0" borderId="0" xfId="0" applyFont="1"/>
    <xf numFmtId="0" fontId="4" fillId="0" borderId="0" xfId="0" applyFont="1"/>
    <xf numFmtId="165" fontId="5" fillId="0" borderId="1" xfId="0" applyNumberFormat="1" applyFont="1" applyFill="1" applyBorder="1" applyAlignment="1">
      <alignment horizontal="center"/>
    </xf>
    <xf numFmtId="165" fontId="5" fillId="0" borderId="1" xfId="0" applyNumberFormat="1" applyFont="1" applyFill="1" applyBorder="1" applyAlignment="1"/>
    <xf numFmtId="0" fontId="3" fillId="0" borderId="0" xfId="0" applyFont="1" applyFill="1"/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165" fontId="5" fillId="0" borderId="2" xfId="0" applyNumberFormat="1" applyFont="1" applyFill="1" applyBorder="1" applyAlignment="1"/>
    <xf numFmtId="165" fontId="5" fillId="0" borderId="2" xfId="0" applyNumberFormat="1" applyFont="1" applyFill="1" applyBorder="1" applyAlignment="1">
      <alignment horizontal="center"/>
    </xf>
    <xf numFmtId="4" fontId="4" fillId="0" borderId="5" xfId="0" applyNumberFormat="1" applyFont="1" applyBorder="1"/>
    <xf numFmtId="4" fontId="5" fillId="0" borderId="7" xfId="0" applyNumberFormat="1" applyFont="1" applyFill="1" applyBorder="1" applyAlignment="1">
      <alignment horizontal="right" wrapText="1"/>
    </xf>
    <xf numFmtId="10" fontId="5" fillId="0" borderId="7" xfId="2" applyNumberFormat="1" applyFont="1" applyFill="1" applyBorder="1" applyAlignment="1">
      <alignment horizontal="right" wrapText="1"/>
    </xf>
    <xf numFmtId="4" fontId="4" fillId="0" borderId="5" xfId="0" applyNumberFormat="1" applyFont="1" applyBorder="1" applyAlignment="1">
      <alignment horizontal="right" wrapText="1"/>
    </xf>
    <xf numFmtId="166" fontId="4" fillId="0" borderId="5" xfId="0" applyNumberFormat="1" applyFont="1" applyBorder="1" applyAlignment="1">
      <alignment horizontal="right" wrapText="1"/>
    </xf>
    <xf numFmtId="10" fontId="4" fillId="0" borderId="5" xfId="2" applyNumberFormat="1" applyFont="1" applyBorder="1" applyAlignment="1">
      <alignment horizontal="right" wrapText="1"/>
    </xf>
    <xf numFmtId="166" fontId="4" fillId="0" borderId="4" xfId="0" applyNumberFormat="1" applyFont="1" applyBorder="1" applyAlignment="1">
      <alignment horizontal="right" wrapText="1"/>
    </xf>
    <xf numFmtId="166" fontId="3" fillId="0" borderId="5" xfId="0" applyNumberFormat="1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5" fillId="0" borderId="7" xfId="0" applyFont="1" applyFill="1" applyBorder="1" applyAlignment="1">
      <alignment horizontal="center"/>
    </xf>
    <xf numFmtId="4" fontId="5" fillId="0" borderId="0" xfId="0" applyNumberFormat="1" applyFont="1" applyBorder="1"/>
    <xf numFmtId="4" fontId="5" fillId="0" borderId="0" xfId="0" applyNumberFormat="1" applyFont="1"/>
    <xf numFmtId="0" fontId="8" fillId="0" borderId="0" xfId="0" applyFont="1"/>
    <xf numFmtId="0" fontId="9" fillId="0" borderId="0" xfId="0" applyFont="1"/>
    <xf numFmtId="4" fontId="9" fillId="0" borderId="0" xfId="0" applyNumberFormat="1" applyFont="1"/>
    <xf numFmtId="166" fontId="4" fillId="0" borderId="0" xfId="0" applyNumberFormat="1" applyFont="1" applyBorder="1" applyAlignment="1">
      <alignment horizontal="right" wrapText="1"/>
    </xf>
    <xf numFmtId="10" fontId="4" fillId="0" borderId="0" xfId="2" applyNumberFormat="1" applyFont="1" applyBorder="1" applyAlignment="1">
      <alignment horizontal="right" wrapText="1"/>
    </xf>
    <xf numFmtId="0" fontId="3" fillId="0" borderId="0" xfId="0" applyFont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66" fontId="3" fillId="0" borderId="0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166" fontId="4" fillId="0" borderId="0" xfId="0" applyNumberFormat="1" applyFont="1" applyFill="1" applyBorder="1" applyAlignment="1">
      <alignment horizontal="right" wrapText="1"/>
    </xf>
    <xf numFmtId="40" fontId="4" fillId="0" borderId="0" xfId="0" applyNumberFormat="1" applyFont="1" applyFill="1" applyBorder="1" applyAlignment="1">
      <alignment horizontal="right" wrapText="1"/>
    </xf>
    <xf numFmtId="10" fontId="4" fillId="0" borderId="0" xfId="2" applyNumberFormat="1" applyFont="1" applyFill="1" applyBorder="1" applyAlignment="1">
      <alignment horizontal="right" wrapText="1"/>
    </xf>
    <xf numFmtId="0" fontId="3" fillId="0" borderId="0" xfId="0" applyFont="1" applyFill="1" applyBorder="1"/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right" wrapText="1"/>
    </xf>
    <xf numFmtId="40" fontId="5" fillId="0" borderId="0" xfId="0" applyNumberFormat="1" applyFont="1" applyFill="1" applyBorder="1" applyAlignment="1">
      <alignment horizontal="right" wrapText="1"/>
    </xf>
    <xf numFmtId="10" fontId="5" fillId="0" borderId="0" xfId="2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4" fontId="4" fillId="0" borderId="0" xfId="0" applyNumberFormat="1" applyFont="1" applyFill="1" applyBorder="1"/>
    <xf numFmtId="0" fontId="5" fillId="0" borderId="0" xfId="0" applyFont="1" applyFill="1" applyBorder="1"/>
    <xf numFmtId="9" fontId="4" fillId="0" borderId="0" xfId="0" applyNumberFormat="1" applyFont="1" applyFill="1" applyBorder="1"/>
    <xf numFmtId="4" fontId="5" fillId="0" borderId="0" xfId="0" applyNumberFormat="1" applyFont="1" applyFill="1" applyBorder="1"/>
    <xf numFmtId="0" fontId="17" fillId="0" borderId="0" xfId="0" applyFont="1"/>
    <xf numFmtId="0" fontId="2" fillId="0" borderId="0" xfId="0" applyFont="1" applyAlignment="1">
      <alignment horizontal="centerContinuous"/>
    </xf>
    <xf numFmtId="166" fontId="4" fillId="0" borderId="9" xfId="0" applyNumberFormat="1" applyFont="1" applyBorder="1" applyAlignment="1">
      <alignment horizontal="right" wrapText="1"/>
    </xf>
    <xf numFmtId="0" fontId="5" fillId="0" borderId="8" xfId="0" applyFont="1" applyBorder="1" applyAlignment="1">
      <alignment horizontal="center"/>
    </xf>
    <xf numFmtId="10" fontId="4" fillId="0" borderId="10" xfId="2" applyNumberFormat="1" applyFont="1" applyBorder="1" applyAlignment="1">
      <alignment horizontal="right" wrapText="1"/>
    </xf>
    <xf numFmtId="164" fontId="4" fillId="0" borderId="0" xfId="1" applyFont="1"/>
    <xf numFmtId="4" fontId="4" fillId="0" borderId="5" xfId="0" applyNumberFormat="1" applyFont="1" applyFill="1" applyBorder="1"/>
    <xf numFmtId="0" fontId="4" fillId="0" borderId="5" xfId="0" quotePrefix="1" applyFont="1" applyFill="1" applyBorder="1" applyAlignment="1">
      <alignment horizontal="center"/>
    </xf>
    <xf numFmtId="0" fontId="4" fillId="0" borderId="5" xfId="0" applyFont="1" applyFill="1" applyBorder="1"/>
    <xf numFmtId="0" fontId="4" fillId="0" borderId="5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center"/>
    </xf>
    <xf numFmtId="0" fontId="4" fillId="0" borderId="13" xfId="0" applyFont="1" applyBorder="1"/>
    <xf numFmtId="166" fontId="4" fillId="0" borderId="14" xfId="0" applyNumberFormat="1" applyFont="1" applyBorder="1" applyAlignment="1">
      <alignment horizontal="right" wrapText="1"/>
    </xf>
    <xf numFmtId="0" fontId="7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left"/>
    </xf>
    <xf numFmtId="164" fontId="5" fillId="0" borderId="7" xfId="1" applyFont="1" applyFill="1" applyBorder="1" applyAlignment="1">
      <alignment horizontal="right" wrapText="1"/>
    </xf>
    <xf numFmtId="164" fontId="5" fillId="0" borderId="0" xfId="1" applyFont="1" applyFill="1" applyBorder="1" applyAlignment="1">
      <alignment horizontal="right" wrapText="1"/>
    </xf>
    <xf numFmtId="166" fontId="3" fillId="0" borderId="0" xfId="0" applyNumberFormat="1" applyFont="1"/>
    <xf numFmtId="4" fontId="4" fillId="0" borderId="0" xfId="0" applyNumberFormat="1" applyFont="1" applyBorder="1"/>
    <xf numFmtId="0" fontId="5" fillId="0" borderId="15" xfId="0" applyFont="1" applyFill="1" applyBorder="1" applyAlignment="1">
      <alignment horizontal="center"/>
    </xf>
    <xf numFmtId="0" fontId="5" fillId="0" borderId="8" xfId="0" applyFont="1" applyFill="1" applyBorder="1" applyAlignment="1">
      <alignment wrapText="1"/>
    </xf>
    <xf numFmtId="0" fontId="5" fillId="0" borderId="16" xfId="0" applyFont="1" applyFill="1" applyBorder="1" applyAlignment="1"/>
    <xf numFmtId="0" fontId="5" fillId="0" borderId="5" xfId="0" applyFont="1" applyFill="1" applyBorder="1"/>
    <xf numFmtId="0" fontId="5" fillId="0" borderId="17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5" fillId="0" borderId="0" xfId="0" applyFont="1" applyBorder="1"/>
    <xf numFmtId="164" fontId="4" fillId="0" borderId="0" xfId="1" applyFont="1" applyBorder="1" applyAlignment="1">
      <alignment horizontal="right" wrapText="1"/>
    </xf>
    <xf numFmtId="164" fontId="3" fillId="0" borderId="0" xfId="0" applyNumberFormat="1" applyFont="1"/>
    <xf numFmtId="166" fontId="4" fillId="0" borderId="5" xfId="0" applyNumberFormat="1" applyFont="1" applyFill="1" applyBorder="1" applyAlignment="1">
      <alignment horizontal="right" wrapText="1"/>
    </xf>
    <xf numFmtId="164" fontId="4" fillId="0" borderId="0" xfId="0" applyNumberFormat="1" applyFont="1" applyBorder="1"/>
    <xf numFmtId="166" fontId="5" fillId="0" borderId="6" xfId="0" applyNumberFormat="1" applyFont="1" applyBorder="1" applyAlignment="1">
      <alignment horizontal="centerContinuous"/>
    </xf>
    <xf numFmtId="164" fontId="11" fillId="0" borderId="0" xfId="1" applyFont="1" applyBorder="1" applyAlignment="1">
      <alignment horizontal="right" wrapText="1"/>
    </xf>
    <xf numFmtId="166" fontId="5" fillId="0" borderId="19" xfId="0" applyNumberFormat="1" applyFont="1" applyBorder="1" applyAlignment="1">
      <alignment horizontal="centerContinuous"/>
    </xf>
    <xf numFmtId="0" fontId="10" fillId="0" borderId="21" xfId="0" applyFont="1" applyFill="1" applyBorder="1" applyAlignment="1">
      <alignment horizontal="centerContinuous"/>
    </xf>
    <xf numFmtId="164" fontId="12" fillId="0" borderId="0" xfId="1" applyFont="1" applyFill="1" applyBorder="1" applyAlignment="1">
      <alignment horizontal="left"/>
    </xf>
    <xf numFmtId="164" fontId="3" fillId="0" borderId="0" xfId="1" applyFont="1" applyFill="1" applyBorder="1" applyAlignment="1">
      <alignment horizontal="left"/>
    </xf>
    <xf numFmtId="0" fontId="10" fillId="0" borderId="0" xfId="0" applyFont="1" applyFill="1" applyBorder="1" applyAlignment="1">
      <alignment horizontal="centerContinuous"/>
    </xf>
    <xf numFmtId="164" fontId="12" fillId="0" borderId="21" xfId="1" applyFont="1" applyFill="1" applyBorder="1" applyAlignment="1">
      <alignment horizontal="left"/>
    </xf>
    <xf numFmtId="164" fontId="4" fillId="0" borderId="6" xfId="1" applyFont="1" applyBorder="1" applyAlignment="1">
      <alignment horizontal="right" wrapText="1"/>
    </xf>
    <xf numFmtId="164" fontId="10" fillId="0" borderId="22" xfId="1" applyFont="1" applyFill="1" applyBorder="1" applyAlignment="1">
      <alignment horizontal="left"/>
    </xf>
    <xf numFmtId="164" fontId="10" fillId="0" borderId="0" xfId="1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164" fontId="12" fillId="0" borderId="21" xfId="1" applyFont="1" applyFill="1" applyBorder="1" applyAlignment="1">
      <alignment horizontal="left" indent="2"/>
    </xf>
    <xf numFmtId="164" fontId="3" fillId="0" borderId="0" xfId="1" applyFont="1" applyFill="1" applyBorder="1" applyAlignment="1">
      <alignment horizontal="left" indent="2"/>
    </xf>
    <xf numFmtId="164" fontId="12" fillId="0" borderId="0" xfId="1" applyFont="1" applyFill="1" applyBorder="1" applyAlignment="1">
      <alignment horizontal="left" indent="2"/>
    </xf>
    <xf numFmtId="164" fontId="10" fillId="0" borderId="0" xfId="1" applyFont="1" applyFill="1" applyBorder="1" applyAlignment="1">
      <alignment horizontal="left" indent="2"/>
    </xf>
    <xf numFmtId="164" fontId="10" fillId="0" borderId="22" xfId="1" applyFont="1" applyFill="1" applyBorder="1" applyAlignment="1">
      <alignment horizontal="left" indent="2"/>
    </xf>
    <xf numFmtId="164" fontId="4" fillId="0" borderId="0" xfId="1" applyFont="1" applyFill="1"/>
    <xf numFmtId="166" fontId="3" fillId="0" borderId="0" xfId="0" applyNumberFormat="1" applyFont="1" applyFill="1" applyBorder="1" applyAlignment="1">
      <alignment horizontal="left" wrapText="1"/>
    </xf>
    <xf numFmtId="0" fontId="2" fillId="0" borderId="0" xfId="0" applyFont="1" applyFill="1" applyAlignment="1">
      <alignment horizontal="centerContinuous"/>
    </xf>
    <xf numFmtId="4" fontId="4" fillId="0" borderId="5" xfId="0" applyNumberFormat="1" applyFont="1" applyFill="1" applyBorder="1" applyAlignment="1">
      <alignment horizontal="right" wrapText="1"/>
    </xf>
    <xf numFmtId="164" fontId="4" fillId="0" borderId="5" xfId="1" applyFont="1" applyFill="1" applyBorder="1" applyAlignment="1">
      <alignment horizontal="right" wrapText="1"/>
    </xf>
    <xf numFmtId="166" fontId="4" fillId="0" borderId="9" xfId="0" applyNumberFormat="1" applyFont="1" applyFill="1" applyBorder="1" applyAlignment="1">
      <alignment horizontal="right" wrapText="1"/>
    </xf>
    <xf numFmtId="166" fontId="4" fillId="0" borderId="14" xfId="0" applyNumberFormat="1" applyFont="1" applyFill="1" applyBorder="1" applyAlignment="1">
      <alignment horizontal="right" wrapText="1"/>
    </xf>
    <xf numFmtId="0" fontId="4" fillId="0" borderId="0" xfId="0" applyFont="1" applyFill="1"/>
    <xf numFmtId="0" fontId="9" fillId="0" borderId="0" xfId="0" applyFont="1" applyFill="1"/>
    <xf numFmtId="0" fontId="8" fillId="0" borderId="0" xfId="0" applyFont="1" applyFill="1"/>
    <xf numFmtId="166" fontId="14" fillId="0" borderId="5" xfId="0" applyNumberFormat="1" applyFont="1" applyFill="1" applyBorder="1" applyAlignment="1">
      <alignment horizontal="right" wrapText="1"/>
    </xf>
    <xf numFmtId="164" fontId="15" fillId="0" borderId="19" xfId="1" applyFont="1" applyBorder="1" applyAlignment="1">
      <alignment horizontal="right" wrapText="1"/>
    </xf>
    <xf numFmtId="164" fontId="15" fillId="0" borderId="20" xfId="1" applyFont="1" applyBorder="1" applyAlignment="1">
      <alignment horizontal="right" wrapText="1"/>
    </xf>
    <xf numFmtId="164" fontId="16" fillId="0" borderId="19" xfId="1" applyFont="1" applyBorder="1" applyAlignment="1">
      <alignment horizontal="right" wrapText="1"/>
    </xf>
    <xf numFmtId="164" fontId="15" fillId="0" borderId="20" xfId="1" applyFont="1" applyFill="1" applyBorder="1" applyAlignment="1">
      <alignment horizontal="right" wrapText="1"/>
    </xf>
    <xf numFmtId="164" fontId="15" fillId="0" borderId="25" xfId="1" applyFont="1" applyBorder="1" applyAlignment="1">
      <alignment horizontal="right" wrapText="1"/>
    </xf>
    <xf numFmtId="164" fontId="16" fillId="0" borderId="24" xfId="1" applyFont="1" applyBorder="1" applyAlignment="1">
      <alignment horizontal="justify" wrapText="1"/>
    </xf>
    <xf numFmtId="164" fontId="16" fillId="0" borderId="23" xfId="1" applyFont="1" applyBorder="1" applyAlignment="1">
      <alignment horizontal="right" wrapText="1"/>
    </xf>
    <xf numFmtId="0" fontId="3" fillId="0" borderId="0" xfId="0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 wrapText="1"/>
    </xf>
    <xf numFmtId="164" fontId="4" fillId="0" borderId="0" xfId="0" applyNumberFormat="1" applyFont="1" applyFill="1" applyBorder="1" applyAlignment="1">
      <alignment horizontal="right"/>
    </xf>
    <xf numFmtId="164" fontId="4" fillId="0" borderId="0" xfId="1" applyFont="1" applyFill="1" applyBorder="1" applyAlignment="1">
      <alignment horizontal="right" wrapText="1"/>
    </xf>
    <xf numFmtId="164" fontId="19" fillId="0" borderId="0" xfId="1" applyFont="1" applyFill="1" applyBorder="1" applyAlignment="1">
      <alignment horizontal="right" wrapText="1"/>
    </xf>
    <xf numFmtId="166" fontId="19" fillId="0" borderId="0" xfId="0" applyNumberFormat="1" applyFont="1" applyFill="1" applyBorder="1" applyAlignment="1">
      <alignment horizontal="left" wrapText="1"/>
    </xf>
    <xf numFmtId="164" fontId="13" fillId="0" borderId="19" xfId="1" applyFont="1" applyFill="1" applyBorder="1" applyAlignment="1">
      <alignment horizontal="right" wrapText="1"/>
    </xf>
    <xf numFmtId="164" fontId="21" fillId="0" borderId="0" xfId="1" applyNumberFormat="1" applyFont="1" applyBorder="1"/>
    <xf numFmtId="164" fontId="1" fillId="0" borderId="0" xfId="0" applyNumberFormat="1" applyFont="1"/>
    <xf numFmtId="40" fontId="4" fillId="0" borderId="5" xfId="0" applyNumberFormat="1" applyFont="1" applyFill="1" applyBorder="1" applyAlignment="1">
      <alignment horizontal="right" wrapText="1"/>
    </xf>
    <xf numFmtId="40" fontId="4" fillId="0" borderId="4" xfId="0" applyNumberFormat="1" applyFont="1" applyFill="1" applyBorder="1" applyAlignment="1">
      <alignment horizontal="right" wrapText="1"/>
    </xf>
    <xf numFmtId="40" fontId="4" fillId="0" borderId="9" xfId="0" applyNumberFormat="1" applyFont="1" applyFill="1" applyBorder="1" applyAlignment="1">
      <alignment horizontal="right" wrapText="1"/>
    </xf>
    <xf numFmtId="40" fontId="4" fillId="0" borderId="14" xfId="0" applyNumberFormat="1" applyFont="1" applyFill="1" applyBorder="1" applyAlignment="1">
      <alignment horizontal="right" wrapText="1"/>
    </xf>
    <xf numFmtId="4" fontId="9" fillId="0" borderId="0" xfId="0" applyNumberFormat="1" applyFont="1" applyFill="1"/>
    <xf numFmtId="0" fontId="4" fillId="0" borderId="4" xfId="0" applyFont="1" applyFill="1" applyBorder="1"/>
    <xf numFmtId="4" fontId="4" fillId="0" borderId="4" xfId="0" applyNumberFormat="1" applyFont="1" applyFill="1" applyBorder="1"/>
    <xf numFmtId="166" fontId="3" fillId="0" borderId="5" xfId="0" applyNumberFormat="1" applyFont="1" applyFill="1" applyBorder="1" applyAlignment="1">
      <alignment horizontal="left" wrapText="1"/>
    </xf>
    <xf numFmtId="164" fontId="20" fillId="0" borderId="0" xfId="1" applyFont="1" applyFill="1" applyBorder="1" applyAlignment="1">
      <alignment horizontal="left" wrapText="1"/>
    </xf>
    <xf numFmtId="164" fontId="18" fillId="0" borderId="0" xfId="1" applyFont="1" applyFill="1" applyBorder="1" applyAlignment="1">
      <alignment horizontal="right" wrapText="1"/>
    </xf>
    <xf numFmtId="10" fontId="4" fillId="0" borderId="5" xfId="2" applyNumberFormat="1" applyFont="1" applyFill="1" applyBorder="1" applyAlignment="1">
      <alignment horizontal="right" wrapText="1"/>
    </xf>
    <xf numFmtId="4" fontId="3" fillId="0" borderId="5" xfId="0" applyNumberFormat="1" applyFont="1" applyFill="1" applyBorder="1"/>
    <xf numFmtId="0" fontId="4" fillId="0" borderId="0" xfId="0" applyNumberFormat="1" applyFont="1" applyBorder="1" applyAlignment="1">
      <alignment horizontal="right" wrapText="1"/>
    </xf>
    <xf numFmtId="0" fontId="3" fillId="0" borderId="0" xfId="0" applyNumberFormat="1" applyFont="1" applyFill="1" applyBorder="1" applyAlignment="1"/>
    <xf numFmtId="164" fontId="4" fillId="0" borderId="0" xfId="0" applyNumberFormat="1" applyFont="1" applyFill="1"/>
    <xf numFmtId="0" fontId="4" fillId="0" borderId="0" xfId="0" quotePrefix="1" applyFont="1" applyBorder="1" applyAlignment="1">
      <alignment horizontal="left"/>
    </xf>
    <xf numFmtId="166" fontId="19" fillId="0" borderId="0" xfId="0" applyNumberFormat="1" applyFont="1" applyBorder="1" applyAlignment="1">
      <alignment horizontal="right" wrapText="1"/>
    </xf>
    <xf numFmtId="164" fontId="14" fillId="0" borderId="0" xfId="1" applyNumberFormat="1" applyFont="1" applyBorder="1"/>
    <xf numFmtId="0" fontId="7" fillId="0" borderId="5" xfId="0" applyFont="1" applyBorder="1" applyAlignment="1">
      <alignment horizontal="center"/>
    </xf>
    <xf numFmtId="0" fontId="5" fillId="0" borderId="30" xfId="0" applyFont="1" applyFill="1" applyBorder="1" applyAlignment="1"/>
    <xf numFmtId="0" fontId="5" fillId="0" borderId="4" xfId="0" applyFont="1" applyFill="1" applyBorder="1" applyAlignment="1">
      <alignment horizontal="center"/>
    </xf>
    <xf numFmtId="4" fontId="4" fillId="0" borderId="4" xfId="0" applyNumberFormat="1" applyFont="1" applyBorder="1" applyAlignment="1">
      <alignment horizontal="right" wrapText="1"/>
    </xf>
    <xf numFmtId="0" fontId="22" fillId="0" borderId="0" xfId="0" applyFont="1"/>
    <xf numFmtId="0" fontId="22" fillId="0" borderId="0" xfId="0" applyFont="1" applyFill="1"/>
    <xf numFmtId="10" fontId="4" fillId="0" borderId="5" xfId="2" applyNumberFormat="1" applyFont="1" applyFill="1" applyBorder="1"/>
    <xf numFmtId="4" fontId="3" fillId="0" borderId="0" xfId="0" applyNumberFormat="1" applyFont="1" applyFill="1"/>
    <xf numFmtId="0" fontId="4" fillId="0" borderId="5" xfId="0" quotePrefix="1" applyFont="1" applyFill="1" applyBorder="1" applyAlignment="1">
      <alignment horizontal="left"/>
    </xf>
    <xf numFmtId="164" fontId="3" fillId="0" borderId="0" xfId="0" applyNumberFormat="1" applyFont="1" applyFill="1"/>
    <xf numFmtId="0" fontId="4" fillId="0" borderId="4" xfId="0" applyFont="1" applyFill="1" applyBorder="1" applyAlignment="1">
      <alignment horizontal="center"/>
    </xf>
    <xf numFmtId="0" fontId="4" fillId="0" borderId="11" xfId="0" applyFont="1" applyFill="1" applyBorder="1"/>
    <xf numFmtId="10" fontId="4" fillId="0" borderId="4" xfId="2" applyNumberFormat="1" applyFont="1" applyFill="1" applyBorder="1"/>
    <xf numFmtId="0" fontId="3" fillId="0" borderId="0" xfId="0" applyFont="1" applyFill="1" applyBorder="1" applyAlignment="1">
      <alignment horizontal="left"/>
    </xf>
    <xf numFmtId="0" fontId="24" fillId="0" borderId="0" xfId="0" applyFont="1"/>
    <xf numFmtId="4" fontId="9" fillId="0" borderId="0" xfId="0" applyNumberFormat="1" applyFont="1" applyAlignment="1">
      <alignment horizontal="left" indent="7"/>
    </xf>
    <xf numFmtId="4" fontId="23" fillId="0" borderId="0" xfId="0" applyNumberFormat="1" applyFont="1" applyAlignment="1">
      <alignment horizontal="left" indent="7"/>
    </xf>
    <xf numFmtId="4" fontId="4" fillId="0" borderId="4" xfId="0" applyNumberFormat="1" applyFont="1" applyFill="1" applyBorder="1" applyAlignment="1">
      <alignment horizontal="right" wrapText="1"/>
    </xf>
    <xf numFmtId="0" fontId="7" fillId="0" borderId="18" xfId="0" applyFont="1" applyFill="1" applyBorder="1" applyAlignment="1">
      <alignment horizontal="center"/>
    </xf>
    <xf numFmtId="166" fontId="3" fillId="0" borderId="0" xfId="0" applyNumberFormat="1" applyFont="1" applyFill="1"/>
    <xf numFmtId="0" fontId="4" fillId="0" borderId="13" xfId="0" applyFont="1" applyFill="1" applyBorder="1"/>
    <xf numFmtId="166" fontId="4" fillId="0" borderId="4" xfId="0" applyNumberFormat="1" applyFont="1" applyFill="1" applyBorder="1" applyAlignment="1">
      <alignment horizontal="right" wrapText="1"/>
    </xf>
    <xf numFmtId="0" fontId="5" fillId="0" borderId="8" xfId="0" applyFont="1" applyFill="1" applyBorder="1" applyAlignment="1">
      <alignment horizontal="center"/>
    </xf>
    <xf numFmtId="10" fontId="4" fillId="0" borderId="10" xfId="2" applyNumberFormat="1" applyFont="1" applyFill="1" applyBorder="1" applyAlignment="1">
      <alignment horizontal="right" wrapText="1"/>
    </xf>
    <xf numFmtId="0" fontId="5" fillId="0" borderId="0" xfId="0" applyFont="1" applyFill="1" applyAlignment="1">
      <alignment horizontal="center"/>
    </xf>
    <xf numFmtId="166" fontId="5" fillId="0" borderId="6" xfId="0" applyNumberFormat="1" applyFont="1" applyFill="1" applyBorder="1" applyAlignment="1">
      <alignment horizontal="centerContinuous"/>
    </xf>
    <xf numFmtId="166" fontId="5" fillId="0" borderId="19" xfId="0" applyNumberFormat="1" applyFont="1" applyFill="1" applyBorder="1" applyAlignment="1">
      <alignment horizontal="centerContinuous"/>
    </xf>
    <xf numFmtId="164" fontId="4" fillId="0" borderId="6" xfId="1" applyFont="1" applyFill="1" applyBorder="1" applyAlignment="1">
      <alignment horizontal="right" wrapText="1"/>
    </xf>
    <xf numFmtId="164" fontId="15" fillId="0" borderId="19" xfId="1" applyFont="1" applyFill="1" applyBorder="1" applyAlignment="1">
      <alignment horizontal="right" wrapText="1"/>
    </xf>
    <xf numFmtId="0" fontId="4" fillId="0" borderId="0" xfId="0" applyNumberFormat="1" applyFont="1" applyFill="1" applyBorder="1" applyAlignment="1">
      <alignment horizontal="right" wrapText="1"/>
    </xf>
    <xf numFmtId="164" fontId="16" fillId="0" borderId="19" xfId="1" applyFont="1" applyFill="1" applyBorder="1" applyAlignment="1">
      <alignment horizontal="right" wrapText="1"/>
    </xf>
    <xf numFmtId="164" fontId="11" fillId="0" borderId="0" xfId="1" applyFont="1" applyFill="1" applyBorder="1" applyAlignment="1">
      <alignment horizontal="right" wrapText="1"/>
    </xf>
    <xf numFmtId="164" fontId="15" fillId="0" borderId="25" xfId="1" applyFont="1" applyFill="1" applyBorder="1" applyAlignment="1">
      <alignment horizontal="right" wrapText="1"/>
    </xf>
    <xf numFmtId="164" fontId="16" fillId="0" borderId="24" xfId="1" applyFont="1" applyFill="1" applyBorder="1" applyAlignment="1">
      <alignment horizontal="justify" wrapText="1"/>
    </xf>
    <xf numFmtId="166" fontId="19" fillId="0" borderId="0" xfId="0" applyNumberFormat="1" applyFont="1" applyFill="1" applyBorder="1" applyAlignment="1">
      <alignment horizontal="right" wrapText="1"/>
    </xf>
    <xf numFmtId="164" fontId="16" fillId="0" borderId="23" xfId="1" applyFont="1" applyFill="1" applyBorder="1" applyAlignment="1">
      <alignment horizontal="right" wrapText="1"/>
    </xf>
    <xf numFmtId="164" fontId="14" fillId="0" borderId="0" xfId="1" applyNumberFormat="1" applyFont="1" applyFill="1" applyBorder="1"/>
    <xf numFmtId="164" fontId="21" fillId="0" borderId="0" xfId="1" applyNumberFormat="1" applyFont="1" applyFill="1" applyBorder="1"/>
    <xf numFmtId="0" fontId="4" fillId="0" borderId="0" xfId="0" quotePrefix="1" applyFont="1" applyFill="1" applyBorder="1" applyAlignment="1">
      <alignment horizontal="left"/>
    </xf>
    <xf numFmtId="164" fontId="4" fillId="0" borderId="0" xfId="0" applyNumberFormat="1" applyFont="1" applyFill="1" applyBorder="1"/>
    <xf numFmtId="164" fontId="1" fillId="0" borderId="0" xfId="0" applyNumberFormat="1" applyFont="1" applyFill="1"/>
    <xf numFmtId="4" fontId="5" fillId="0" borderId="0" xfId="0" applyNumberFormat="1" applyFont="1" applyFill="1"/>
    <xf numFmtId="4" fontId="9" fillId="0" borderId="0" xfId="0" applyNumberFormat="1" applyFont="1" applyFill="1" applyAlignment="1">
      <alignment horizontal="left" indent="7"/>
    </xf>
    <xf numFmtId="0" fontId="24" fillId="0" borderId="0" xfId="0" applyFont="1" applyFill="1"/>
    <xf numFmtId="4" fontId="23" fillId="0" borderId="0" xfId="0" applyNumberFormat="1" applyFont="1" applyFill="1" applyAlignment="1">
      <alignment horizontal="left" indent="7"/>
    </xf>
    <xf numFmtId="0" fontId="17" fillId="0" borderId="0" xfId="0" applyFont="1" applyFill="1"/>
    <xf numFmtId="167" fontId="2" fillId="0" borderId="0" xfId="0" applyNumberFormat="1" applyFont="1" applyFill="1" applyAlignment="1">
      <alignment horizontal="centerContinuous"/>
    </xf>
    <xf numFmtId="167" fontId="10" fillId="0" borderId="1" xfId="0" applyNumberFormat="1" applyFont="1" applyFill="1" applyBorder="1" applyAlignment="1"/>
    <xf numFmtId="167" fontId="10" fillId="0" borderId="2" xfId="0" applyNumberFormat="1" applyFont="1" applyFill="1" applyBorder="1" applyAlignment="1"/>
    <xf numFmtId="167" fontId="3" fillId="0" borderId="5" xfId="0" applyNumberFormat="1" applyFont="1" applyFill="1" applyBorder="1" applyAlignment="1">
      <alignment horizontal="right" wrapText="1"/>
    </xf>
    <xf numFmtId="167" fontId="3" fillId="0" borderId="4" xfId="0" applyNumberFormat="1" applyFont="1" applyFill="1" applyBorder="1" applyAlignment="1">
      <alignment horizontal="right" wrapText="1"/>
    </xf>
    <xf numFmtId="167" fontId="10" fillId="0" borderId="7" xfId="0" applyNumberFormat="1" applyFont="1" applyFill="1" applyBorder="1" applyAlignment="1">
      <alignment horizontal="right" wrapText="1"/>
    </xf>
    <xf numFmtId="167" fontId="3" fillId="0" borderId="9" xfId="0" applyNumberFormat="1" applyFont="1" applyFill="1" applyBorder="1" applyAlignment="1">
      <alignment horizontal="right" wrapText="1"/>
    </xf>
    <xf numFmtId="167" fontId="3" fillId="0" borderId="14" xfId="0" applyNumberFormat="1" applyFont="1" applyFill="1" applyBorder="1" applyAlignment="1">
      <alignment horizontal="right" wrapText="1"/>
    </xf>
    <xf numFmtId="167" fontId="10" fillId="0" borderId="0" xfId="0" applyNumberFormat="1" applyFont="1" applyFill="1" applyBorder="1" applyAlignment="1">
      <alignment horizontal="right" wrapText="1"/>
    </xf>
    <xf numFmtId="167" fontId="3" fillId="0" borderId="0" xfId="0" applyNumberFormat="1" applyFont="1" applyFill="1" applyBorder="1" applyAlignment="1">
      <alignment horizontal="right" wrapText="1"/>
    </xf>
    <xf numFmtId="167" fontId="3" fillId="0" borderId="0" xfId="0" applyNumberFormat="1" applyFont="1" applyFill="1"/>
    <xf numFmtId="167" fontId="8" fillId="0" borderId="0" xfId="0" applyNumberFormat="1" applyFont="1" applyFill="1"/>
    <xf numFmtId="167" fontId="3" fillId="0" borderId="0" xfId="0" applyNumberFormat="1" applyFont="1" applyFill="1" applyBorder="1" applyAlignment="1">
      <alignment horizontal="right"/>
    </xf>
    <xf numFmtId="167" fontId="3" fillId="0" borderId="0" xfId="0" applyNumberFormat="1" applyFont="1" applyFill="1" applyBorder="1"/>
    <xf numFmtId="39" fontId="4" fillId="0" borderId="5" xfId="0" applyNumberFormat="1" applyFont="1" applyFill="1" applyBorder="1" applyAlignment="1">
      <alignment horizontal="right" wrapText="1"/>
    </xf>
    <xf numFmtId="40" fontId="3" fillId="0" borderId="5" xfId="0" applyNumberFormat="1" applyFont="1" applyFill="1" applyBorder="1" applyAlignment="1">
      <alignment horizontal="right" wrapText="1"/>
    </xf>
    <xf numFmtId="4" fontId="25" fillId="0" borderId="5" xfId="0" applyNumberFormat="1" applyFont="1" applyFill="1" applyBorder="1"/>
    <xf numFmtId="167" fontId="4" fillId="0" borderId="5" xfId="0" applyNumberFormat="1" applyFont="1" applyFill="1" applyBorder="1" applyAlignment="1">
      <alignment horizontal="right" wrapText="1"/>
    </xf>
    <xf numFmtId="167" fontId="4" fillId="0" borderId="4" xfId="0" applyNumberFormat="1" applyFont="1" applyFill="1" applyBorder="1" applyAlignment="1">
      <alignment horizontal="right" wrapText="1"/>
    </xf>
    <xf numFmtId="166" fontId="26" fillId="0" borderId="5" xfId="0" applyNumberFormat="1" applyFont="1" applyFill="1" applyBorder="1" applyAlignment="1">
      <alignment horizontal="right" wrapText="1"/>
    </xf>
    <xf numFmtId="166" fontId="3" fillId="0" borderId="5" xfId="0" applyNumberFormat="1" applyFont="1" applyFill="1" applyBorder="1" applyAlignment="1">
      <alignment horizontal="right" wrapText="1"/>
    </xf>
    <xf numFmtId="166" fontId="3" fillId="2" borderId="5" xfId="0" applyNumberFormat="1" applyFont="1" applyFill="1" applyBorder="1" applyAlignment="1">
      <alignment horizontal="right" wrapText="1"/>
    </xf>
    <xf numFmtId="4" fontId="3" fillId="0" borderId="5" xfId="0" applyNumberFormat="1" applyFont="1" applyFill="1" applyBorder="1" applyAlignment="1">
      <alignment horizontal="right" wrapText="1"/>
    </xf>
    <xf numFmtId="4" fontId="10" fillId="0" borderId="7" xfId="0" applyNumberFormat="1" applyFont="1" applyFill="1" applyBorder="1" applyAlignment="1">
      <alignment horizontal="right" wrapText="1"/>
    </xf>
    <xf numFmtId="164" fontId="3" fillId="0" borderId="5" xfId="1" applyFont="1" applyFill="1" applyBorder="1" applyAlignment="1">
      <alignment horizontal="right" wrapText="1"/>
    </xf>
    <xf numFmtId="166" fontId="3" fillId="0" borderId="9" xfId="0" applyNumberFormat="1" applyFont="1" applyFill="1" applyBorder="1" applyAlignment="1">
      <alignment horizontal="right" wrapText="1"/>
    </xf>
    <xf numFmtId="166" fontId="18" fillId="0" borderId="5" xfId="0" applyNumberFormat="1" applyFont="1" applyFill="1" applyBorder="1" applyAlignment="1">
      <alignment horizontal="right" wrapText="1"/>
    </xf>
    <xf numFmtId="166" fontId="3" fillId="0" borderId="14" xfId="0" applyNumberFormat="1" applyFont="1" applyFill="1" applyBorder="1" applyAlignment="1">
      <alignment horizontal="right" wrapText="1"/>
    </xf>
    <xf numFmtId="164" fontId="10" fillId="0" borderId="7" xfId="1" applyFont="1" applyFill="1" applyBorder="1" applyAlignment="1">
      <alignment horizontal="right" wrapText="1"/>
    </xf>
    <xf numFmtId="164" fontId="10" fillId="0" borderId="0" xfId="1" applyFont="1" applyFill="1" applyBorder="1" applyAlignment="1">
      <alignment horizontal="right" wrapText="1"/>
    </xf>
    <xf numFmtId="166" fontId="3" fillId="0" borderId="0" xfId="0" applyNumberFormat="1" applyFont="1" applyFill="1" applyBorder="1" applyAlignment="1">
      <alignment horizontal="right" wrapText="1"/>
    </xf>
    <xf numFmtId="164" fontId="3" fillId="0" borderId="0" xfId="1" applyFont="1" applyFill="1" applyBorder="1" applyAlignment="1">
      <alignment horizontal="right" wrapText="1"/>
    </xf>
    <xf numFmtId="4" fontId="3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/>
    <xf numFmtId="166" fontId="27" fillId="0" borderId="0" xfId="0" applyNumberFormat="1" applyFont="1" applyFill="1" applyBorder="1" applyAlignment="1">
      <alignment horizontal="left" wrapText="1"/>
    </xf>
    <xf numFmtId="164" fontId="28" fillId="0" borderId="0" xfId="1" applyNumberFormat="1" applyFont="1" applyFill="1" applyBorder="1"/>
    <xf numFmtId="0" fontId="5" fillId="0" borderId="5" xfId="0" applyFont="1" applyFill="1" applyBorder="1" applyAlignment="1"/>
    <xf numFmtId="0" fontId="5" fillId="0" borderId="5" xfId="0" applyFont="1" applyFill="1" applyBorder="1" applyAlignment="1">
      <alignment horizontal="center"/>
    </xf>
    <xf numFmtId="164" fontId="2" fillId="0" borderId="0" xfId="1" applyFont="1" applyFill="1" applyAlignment="1">
      <alignment horizontal="centerContinuous"/>
    </xf>
    <xf numFmtId="164" fontId="5" fillId="0" borderId="1" xfId="1" applyFont="1" applyFill="1" applyBorder="1" applyAlignment="1">
      <alignment horizontal="center"/>
    </xf>
    <xf numFmtId="164" fontId="5" fillId="0" borderId="2" xfId="1" applyFont="1" applyFill="1" applyBorder="1" applyAlignment="1">
      <alignment horizontal="center"/>
    </xf>
    <xf numFmtId="164" fontId="4" fillId="0" borderId="5" xfId="1" applyFont="1" applyFill="1" applyBorder="1"/>
    <xf numFmtId="164" fontId="4" fillId="0" borderId="4" xfId="1" applyFont="1" applyFill="1" applyBorder="1"/>
    <xf numFmtId="164" fontId="4" fillId="0" borderId="4" xfId="1" applyFont="1" applyFill="1" applyBorder="1" applyAlignment="1">
      <alignment horizontal="right" wrapText="1"/>
    </xf>
    <xf numFmtId="164" fontId="5" fillId="0" borderId="6" xfId="1" applyFont="1" applyFill="1" applyBorder="1" applyAlignment="1">
      <alignment horizontal="centerContinuous"/>
    </xf>
    <xf numFmtId="164" fontId="5" fillId="0" borderId="19" xfId="1" applyFont="1" applyFill="1" applyBorder="1" applyAlignment="1">
      <alignment horizontal="centerContinuous"/>
    </xf>
    <xf numFmtId="164" fontId="1" fillId="0" borderId="0" xfId="1" applyFont="1" applyFill="1"/>
    <xf numFmtId="164" fontId="3" fillId="0" borderId="0" xfId="1" applyFont="1" applyFill="1"/>
    <xf numFmtId="164" fontId="5" fillId="0" borderId="0" xfId="1" applyFont="1" applyFill="1" applyBorder="1"/>
    <xf numFmtId="164" fontId="5" fillId="0" borderId="0" xfId="1" applyFont="1" applyFill="1"/>
    <xf numFmtId="164" fontId="9" fillId="0" borderId="0" xfId="1" applyFont="1" applyFill="1" applyAlignment="1">
      <alignment horizontal="left" indent="7"/>
    </xf>
    <xf numFmtId="164" fontId="23" fillId="0" borderId="0" xfId="1" applyFont="1" applyFill="1" applyAlignment="1">
      <alignment horizontal="left" indent="7"/>
    </xf>
    <xf numFmtId="43" fontId="4" fillId="0" borderId="6" xfId="1" applyNumberFormat="1" applyFont="1" applyFill="1" applyBorder="1" applyAlignment="1">
      <alignment horizontal="right" wrapText="1"/>
    </xf>
    <xf numFmtId="43" fontId="16" fillId="0" borderId="23" xfId="1" applyNumberFormat="1" applyFont="1" applyFill="1" applyBorder="1" applyAlignment="1">
      <alignment horizontal="right" wrapText="1"/>
    </xf>
    <xf numFmtId="43" fontId="29" fillId="0" borderId="21" xfId="1" applyNumberFormat="1" applyFont="1" applyFill="1" applyBorder="1" applyAlignment="1"/>
    <xf numFmtId="43" fontId="21" fillId="0" borderId="0" xfId="1" applyNumberFormat="1" applyFont="1" applyFill="1" applyBorder="1"/>
    <xf numFmtId="43" fontId="4" fillId="0" borderId="0" xfId="1" applyNumberFormat="1" applyFont="1" applyFill="1" applyBorder="1"/>
    <xf numFmtId="43" fontId="2" fillId="0" borderId="0" xfId="0" applyNumberFormat="1" applyFont="1" applyFill="1" applyAlignment="1">
      <alignment horizontal="centerContinuous"/>
    </xf>
    <xf numFmtId="43" fontId="3" fillId="0" borderId="5" xfId="0" applyNumberFormat="1" applyFont="1" applyFill="1" applyBorder="1" applyAlignment="1">
      <alignment horizontal="right" wrapText="1"/>
    </xf>
    <xf numFmtId="43" fontId="3" fillId="0" borderId="5" xfId="0" applyNumberFormat="1" applyFont="1" applyFill="1" applyBorder="1"/>
    <xf numFmtId="43" fontId="10" fillId="0" borderId="7" xfId="0" applyNumberFormat="1" applyFont="1" applyFill="1" applyBorder="1" applyAlignment="1">
      <alignment horizontal="right" wrapText="1"/>
    </xf>
    <xf numFmtId="43" fontId="3" fillId="0" borderId="5" xfId="1" applyNumberFormat="1" applyFont="1" applyFill="1" applyBorder="1" applyAlignment="1">
      <alignment horizontal="right" wrapText="1"/>
    </xf>
    <xf numFmtId="43" fontId="18" fillId="0" borderId="5" xfId="0" applyNumberFormat="1" applyFont="1" applyFill="1" applyBorder="1" applyAlignment="1">
      <alignment horizontal="right" wrapText="1"/>
    </xf>
    <xf numFmtId="43" fontId="3" fillId="0" borderId="14" xfId="0" applyNumberFormat="1" applyFont="1" applyFill="1" applyBorder="1" applyAlignment="1">
      <alignment horizontal="right" wrapText="1"/>
    </xf>
    <xf numFmtId="43" fontId="10" fillId="0" borderId="7" xfId="1" applyNumberFormat="1" applyFont="1" applyFill="1" applyBorder="1" applyAlignment="1">
      <alignment horizontal="right" wrapText="1"/>
    </xf>
    <xf numFmtId="43" fontId="10" fillId="0" borderId="0" xfId="1" applyNumberFormat="1" applyFont="1" applyFill="1" applyBorder="1" applyAlignment="1">
      <alignment horizontal="right" wrapText="1"/>
    </xf>
    <xf numFmtId="43" fontId="3" fillId="0" borderId="0" xfId="0" applyNumberFormat="1" applyFont="1" applyFill="1" applyBorder="1" applyAlignment="1">
      <alignment horizontal="right" wrapText="1"/>
    </xf>
    <xf numFmtId="43" fontId="3" fillId="0" borderId="0" xfId="0" applyNumberFormat="1" applyFont="1" applyFill="1"/>
    <xf numFmtId="43" fontId="8" fillId="0" borderId="0" xfId="0" applyNumberFormat="1" applyFont="1" applyFill="1"/>
    <xf numFmtId="164" fontId="16" fillId="0" borderId="25" xfId="1" applyFont="1" applyFill="1" applyBorder="1" applyAlignment="1">
      <alignment horizontal="right" wrapText="1"/>
    </xf>
    <xf numFmtId="165" fontId="5" fillId="0" borderId="3" xfId="0" applyNumberFormat="1" applyFont="1" applyFill="1" applyBorder="1" applyAlignment="1">
      <alignment horizontal="centerContinuous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165" fontId="5" fillId="0" borderId="3" xfId="0" applyNumberFormat="1" applyFont="1" applyFill="1" applyBorder="1" applyAlignment="1">
      <alignment horizontal="center"/>
    </xf>
    <xf numFmtId="165" fontId="10" fillId="0" borderId="1" xfId="0" applyNumberFormat="1" applyFont="1" applyFill="1" applyBorder="1" applyAlignment="1">
      <alignment horizontal="center" vertical="center"/>
    </xf>
    <xf numFmtId="165" fontId="10" fillId="0" borderId="2" xfId="0" applyNumberFormat="1" applyFont="1" applyFill="1" applyBorder="1" applyAlignment="1">
      <alignment horizontal="center" vertical="center"/>
    </xf>
    <xf numFmtId="43" fontId="10" fillId="0" borderId="1" xfId="0" applyNumberFormat="1" applyFont="1" applyFill="1" applyBorder="1" applyAlignment="1">
      <alignment horizontal="center" vertical="center"/>
    </xf>
    <xf numFmtId="43" fontId="10" fillId="0" borderId="2" xfId="0" applyNumberFormat="1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colors>
    <mruColors>
      <color rgb="FFFFFF99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109</xdr:row>
      <xdr:rowOff>152400</xdr:rowOff>
    </xdr:from>
    <xdr:to>
      <xdr:col>0</xdr:col>
      <xdr:colOff>122768</xdr:colOff>
      <xdr:row>129</xdr:row>
      <xdr:rowOff>222251</xdr:rowOff>
    </xdr:to>
    <xdr:sp macro="" textlink="">
      <xdr:nvSpPr>
        <xdr:cNvPr id="2" name="1 Rectángulo"/>
        <xdr:cNvSpPr/>
      </xdr:nvSpPr>
      <xdr:spPr>
        <a:xfrm>
          <a:off x="0" y="25403175"/>
          <a:ext cx="122768" cy="3575051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GT"/>
        </a:p>
      </xdr:txBody>
    </xdr:sp>
    <xdr:clientData/>
  </xdr:twoCellAnchor>
  <xdr:twoCellAnchor>
    <xdr:from>
      <xdr:col>0</xdr:col>
      <xdr:colOff>127000</xdr:colOff>
      <xdr:row>110</xdr:row>
      <xdr:rowOff>12700</xdr:rowOff>
    </xdr:from>
    <xdr:to>
      <xdr:col>0</xdr:col>
      <xdr:colOff>139700</xdr:colOff>
      <xdr:row>129</xdr:row>
      <xdr:rowOff>12700</xdr:rowOff>
    </xdr:to>
    <xdr:cxnSp macro="">
      <xdr:nvCxnSpPr>
        <xdr:cNvPr id="3" name="2 Conector recto"/>
        <xdr:cNvCxnSpPr/>
      </xdr:nvCxnSpPr>
      <xdr:spPr>
        <a:xfrm flipH="1">
          <a:off x="127000" y="25520650"/>
          <a:ext cx="12700" cy="3248025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115</xdr:row>
      <xdr:rowOff>152400</xdr:rowOff>
    </xdr:from>
    <xdr:to>
      <xdr:col>0</xdr:col>
      <xdr:colOff>122768</xdr:colOff>
      <xdr:row>129</xdr:row>
      <xdr:rowOff>222251</xdr:rowOff>
    </xdr:to>
    <xdr:sp macro="" textlink="">
      <xdr:nvSpPr>
        <xdr:cNvPr id="2" name="1 Rectángulo"/>
        <xdr:cNvSpPr/>
      </xdr:nvSpPr>
      <xdr:spPr>
        <a:xfrm>
          <a:off x="0" y="27003375"/>
          <a:ext cx="122768" cy="3336926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GT"/>
        </a:p>
      </xdr:txBody>
    </xdr:sp>
    <xdr:clientData/>
  </xdr:twoCellAnchor>
  <xdr:twoCellAnchor>
    <xdr:from>
      <xdr:col>0</xdr:col>
      <xdr:colOff>114300</xdr:colOff>
      <xdr:row>116</xdr:row>
      <xdr:rowOff>12700</xdr:rowOff>
    </xdr:from>
    <xdr:to>
      <xdr:col>0</xdr:col>
      <xdr:colOff>127000</xdr:colOff>
      <xdr:row>129</xdr:row>
      <xdr:rowOff>12700</xdr:rowOff>
    </xdr:to>
    <xdr:cxnSp macro="">
      <xdr:nvCxnSpPr>
        <xdr:cNvPr id="3" name="2 Conector recto"/>
        <xdr:cNvCxnSpPr/>
      </xdr:nvCxnSpPr>
      <xdr:spPr>
        <a:xfrm flipH="1">
          <a:off x="114300" y="26657300"/>
          <a:ext cx="12700" cy="3022600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115</xdr:row>
      <xdr:rowOff>152400</xdr:rowOff>
    </xdr:from>
    <xdr:to>
      <xdr:col>0</xdr:col>
      <xdr:colOff>122768</xdr:colOff>
      <xdr:row>129</xdr:row>
      <xdr:rowOff>222251</xdr:rowOff>
    </xdr:to>
    <xdr:sp macro="" textlink="">
      <xdr:nvSpPr>
        <xdr:cNvPr id="2" name="1 Rectángulo"/>
        <xdr:cNvSpPr/>
      </xdr:nvSpPr>
      <xdr:spPr>
        <a:xfrm>
          <a:off x="0" y="26546175"/>
          <a:ext cx="122768" cy="2593976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GT"/>
        </a:p>
      </xdr:txBody>
    </xdr:sp>
    <xdr:clientData/>
  </xdr:twoCellAnchor>
  <xdr:twoCellAnchor>
    <xdr:from>
      <xdr:col>0</xdr:col>
      <xdr:colOff>114300</xdr:colOff>
      <xdr:row>116</xdr:row>
      <xdr:rowOff>12700</xdr:rowOff>
    </xdr:from>
    <xdr:to>
      <xdr:col>0</xdr:col>
      <xdr:colOff>127000</xdr:colOff>
      <xdr:row>129</xdr:row>
      <xdr:rowOff>12700</xdr:rowOff>
    </xdr:to>
    <xdr:cxnSp macro="">
      <xdr:nvCxnSpPr>
        <xdr:cNvPr id="3" name="2 Conector recto"/>
        <xdr:cNvCxnSpPr/>
      </xdr:nvCxnSpPr>
      <xdr:spPr>
        <a:xfrm flipH="1">
          <a:off x="114300" y="26663650"/>
          <a:ext cx="12700" cy="2266950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115</xdr:row>
      <xdr:rowOff>152400</xdr:rowOff>
    </xdr:from>
    <xdr:to>
      <xdr:col>0</xdr:col>
      <xdr:colOff>122768</xdr:colOff>
      <xdr:row>129</xdr:row>
      <xdr:rowOff>222251</xdr:rowOff>
    </xdr:to>
    <xdr:sp macro="" textlink="">
      <xdr:nvSpPr>
        <xdr:cNvPr id="2" name="1 Rectángulo"/>
        <xdr:cNvSpPr/>
      </xdr:nvSpPr>
      <xdr:spPr>
        <a:xfrm>
          <a:off x="0" y="26546175"/>
          <a:ext cx="122768" cy="2593976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GT"/>
        </a:p>
      </xdr:txBody>
    </xdr:sp>
    <xdr:clientData/>
  </xdr:twoCellAnchor>
  <xdr:twoCellAnchor>
    <xdr:from>
      <xdr:col>0</xdr:col>
      <xdr:colOff>114300</xdr:colOff>
      <xdr:row>116</xdr:row>
      <xdr:rowOff>12700</xdr:rowOff>
    </xdr:from>
    <xdr:to>
      <xdr:col>0</xdr:col>
      <xdr:colOff>127000</xdr:colOff>
      <xdr:row>129</xdr:row>
      <xdr:rowOff>12700</xdr:rowOff>
    </xdr:to>
    <xdr:cxnSp macro="">
      <xdr:nvCxnSpPr>
        <xdr:cNvPr id="3" name="2 Conector recto"/>
        <xdr:cNvCxnSpPr/>
      </xdr:nvCxnSpPr>
      <xdr:spPr>
        <a:xfrm flipH="1">
          <a:off x="114300" y="26663650"/>
          <a:ext cx="12700" cy="2266950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109</xdr:row>
      <xdr:rowOff>152400</xdr:rowOff>
    </xdr:from>
    <xdr:to>
      <xdr:col>0</xdr:col>
      <xdr:colOff>122768</xdr:colOff>
      <xdr:row>126</xdr:row>
      <xdr:rowOff>222251</xdr:rowOff>
    </xdr:to>
    <xdr:sp macro="" textlink="">
      <xdr:nvSpPr>
        <xdr:cNvPr id="2" name="1 Rectángulo"/>
        <xdr:cNvSpPr/>
      </xdr:nvSpPr>
      <xdr:spPr>
        <a:xfrm>
          <a:off x="0" y="25174575"/>
          <a:ext cx="122768" cy="4032251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GT"/>
        </a:p>
      </xdr:txBody>
    </xdr:sp>
    <xdr:clientData/>
  </xdr:twoCellAnchor>
  <xdr:twoCellAnchor>
    <xdr:from>
      <xdr:col>0</xdr:col>
      <xdr:colOff>127000</xdr:colOff>
      <xdr:row>110</xdr:row>
      <xdr:rowOff>12700</xdr:rowOff>
    </xdr:from>
    <xdr:to>
      <xdr:col>0</xdr:col>
      <xdr:colOff>139700</xdr:colOff>
      <xdr:row>126</xdr:row>
      <xdr:rowOff>12700</xdr:rowOff>
    </xdr:to>
    <xdr:cxnSp macro="">
      <xdr:nvCxnSpPr>
        <xdr:cNvPr id="3" name="2 Conector recto"/>
        <xdr:cNvCxnSpPr/>
      </xdr:nvCxnSpPr>
      <xdr:spPr>
        <a:xfrm flipH="1">
          <a:off x="127000" y="25292050"/>
          <a:ext cx="12700" cy="3705225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109</xdr:row>
      <xdr:rowOff>152400</xdr:rowOff>
    </xdr:from>
    <xdr:to>
      <xdr:col>0</xdr:col>
      <xdr:colOff>122768</xdr:colOff>
      <xdr:row>126</xdr:row>
      <xdr:rowOff>222251</xdr:rowOff>
    </xdr:to>
    <xdr:sp macro="" textlink="">
      <xdr:nvSpPr>
        <xdr:cNvPr id="2" name="1 Rectángulo"/>
        <xdr:cNvSpPr/>
      </xdr:nvSpPr>
      <xdr:spPr>
        <a:xfrm>
          <a:off x="0" y="25174575"/>
          <a:ext cx="122768" cy="3803651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GT"/>
        </a:p>
      </xdr:txBody>
    </xdr:sp>
    <xdr:clientData/>
  </xdr:twoCellAnchor>
  <xdr:twoCellAnchor>
    <xdr:from>
      <xdr:col>0</xdr:col>
      <xdr:colOff>127000</xdr:colOff>
      <xdr:row>110</xdr:row>
      <xdr:rowOff>12700</xdr:rowOff>
    </xdr:from>
    <xdr:to>
      <xdr:col>0</xdr:col>
      <xdr:colOff>139700</xdr:colOff>
      <xdr:row>126</xdr:row>
      <xdr:rowOff>12700</xdr:rowOff>
    </xdr:to>
    <xdr:cxnSp macro="">
      <xdr:nvCxnSpPr>
        <xdr:cNvPr id="3" name="2 Conector recto"/>
        <xdr:cNvCxnSpPr/>
      </xdr:nvCxnSpPr>
      <xdr:spPr>
        <a:xfrm flipH="1">
          <a:off x="127000" y="25292050"/>
          <a:ext cx="12700" cy="3476625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109</xdr:row>
      <xdr:rowOff>152400</xdr:rowOff>
    </xdr:from>
    <xdr:to>
      <xdr:col>0</xdr:col>
      <xdr:colOff>122768</xdr:colOff>
      <xdr:row>126</xdr:row>
      <xdr:rowOff>222251</xdr:rowOff>
    </xdr:to>
    <xdr:sp macro="" textlink="">
      <xdr:nvSpPr>
        <xdr:cNvPr id="2" name="1 Rectángulo"/>
        <xdr:cNvSpPr/>
      </xdr:nvSpPr>
      <xdr:spPr>
        <a:xfrm>
          <a:off x="0" y="25174575"/>
          <a:ext cx="122768" cy="3346451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GT"/>
        </a:p>
      </xdr:txBody>
    </xdr:sp>
    <xdr:clientData/>
  </xdr:twoCellAnchor>
  <xdr:twoCellAnchor>
    <xdr:from>
      <xdr:col>0</xdr:col>
      <xdr:colOff>127000</xdr:colOff>
      <xdr:row>110</xdr:row>
      <xdr:rowOff>12700</xdr:rowOff>
    </xdr:from>
    <xdr:to>
      <xdr:col>0</xdr:col>
      <xdr:colOff>139700</xdr:colOff>
      <xdr:row>126</xdr:row>
      <xdr:rowOff>12700</xdr:rowOff>
    </xdr:to>
    <xdr:cxnSp macro="">
      <xdr:nvCxnSpPr>
        <xdr:cNvPr id="3" name="2 Conector recto"/>
        <xdr:cNvCxnSpPr/>
      </xdr:nvCxnSpPr>
      <xdr:spPr>
        <a:xfrm flipH="1">
          <a:off x="127000" y="25292050"/>
          <a:ext cx="12700" cy="3019425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119</xdr:row>
      <xdr:rowOff>152400</xdr:rowOff>
    </xdr:from>
    <xdr:to>
      <xdr:col>0</xdr:col>
      <xdr:colOff>122768</xdr:colOff>
      <xdr:row>136</xdr:row>
      <xdr:rowOff>222251</xdr:rowOff>
    </xdr:to>
    <xdr:sp macro="" textlink="">
      <xdr:nvSpPr>
        <xdr:cNvPr id="2" name="1 Rectángulo"/>
        <xdr:cNvSpPr/>
      </xdr:nvSpPr>
      <xdr:spPr>
        <a:xfrm>
          <a:off x="0" y="25174575"/>
          <a:ext cx="122768" cy="3346451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GT"/>
        </a:p>
      </xdr:txBody>
    </xdr:sp>
    <xdr:clientData/>
  </xdr:twoCellAnchor>
  <xdr:twoCellAnchor>
    <xdr:from>
      <xdr:col>0</xdr:col>
      <xdr:colOff>127000</xdr:colOff>
      <xdr:row>120</xdr:row>
      <xdr:rowOff>12700</xdr:rowOff>
    </xdr:from>
    <xdr:to>
      <xdr:col>0</xdr:col>
      <xdr:colOff>139700</xdr:colOff>
      <xdr:row>136</xdr:row>
      <xdr:rowOff>12700</xdr:rowOff>
    </xdr:to>
    <xdr:cxnSp macro="">
      <xdr:nvCxnSpPr>
        <xdr:cNvPr id="3" name="2 Conector recto"/>
        <xdr:cNvCxnSpPr/>
      </xdr:nvCxnSpPr>
      <xdr:spPr>
        <a:xfrm flipH="1">
          <a:off x="127000" y="25292050"/>
          <a:ext cx="12700" cy="3019425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119</xdr:row>
      <xdr:rowOff>152400</xdr:rowOff>
    </xdr:from>
    <xdr:to>
      <xdr:col>0</xdr:col>
      <xdr:colOff>122768</xdr:colOff>
      <xdr:row>136</xdr:row>
      <xdr:rowOff>222251</xdr:rowOff>
    </xdr:to>
    <xdr:sp macro="" textlink="">
      <xdr:nvSpPr>
        <xdr:cNvPr id="2" name="1 Rectángulo"/>
        <xdr:cNvSpPr/>
      </xdr:nvSpPr>
      <xdr:spPr>
        <a:xfrm>
          <a:off x="0" y="27460575"/>
          <a:ext cx="122768" cy="3346451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GT"/>
        </a:p>
      </xdr:txBody>
    </xdr:sp>
    <xdr:clientData/>
  </xdr:twoCellAnchor>
  <xdr:twoCellAnchor>
    <xdr:from>
      <xdr:col>0</xdr:col>
      <xdr:colOff>127000</xdr:colOff>
      <xdr:row>120</xdr:row>
      <xdr:rowOff>12700</xdr:rowOff>
    </xdr:from>
    <xdr:to>
      <xdr:col>0</xdr:col>
      <xdr:colOff>139700</xdr:colOff>
      <xdr:row>136</xdr:row>
      <xdr:rowOff>12700</xdr:rowOff>
    </xdr:to>
    <xdr:cxnSp macro="">
      <xdr:nvCxnSpPr>
        <xdr:cNvPr id="3" name="2 Conector recto"/>
        <xdr:cNvCxnSpPr/>
      </xdr:nvCxnSpPr>
      <xdr:spPr>
        <a:xfrm flipH="1">
          <a:off x="127000" y="27578050"/>
          <a:ext cx="12700" cy="3019425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119</xdr:row>
      <xdr:rowOff>152400</xdr:rowOff>
    </xdr:from>
    <xdr:to>
      <xdr:col>0</xdr:col>
      <xdr:colOff>122768</xdr:colOff>
      <xdr:row>136</xdr:row>
      <xdr:rowOff>222251</xdr:rowOff>
    </xdr:to>
    <xdr:sp macro="" textlink="">
      <xdr:nvSpPr>
        <xdr:cNvPr id="2" name="1 Rectángulo"/>
        <xdr:cNvSpPr/>
      </xdr:nvSpPr>
      <xdr:spPr>
        <a:xfrm>
          <a:off x="0" y="27460575"/>
          <a:ext cx="122768" cy="3346451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GT"/>
        </a:p>
      </xdr:txBody>
    </xdr:sp>
    <xdr:clientData/>
  </xdr:twoCellAnchor>
  <xdr:twoCellAnchor>
    <xdr:from>
      <xdr:col>0</xdr:col>
      <xdr:colOff>127000</xdr:colOff>
      <xdr:row>120</xdr:row>
      <xdr:rowOff>12700</xdr:rowOff>
    </xdr:from>
    <xdr:to>
      <xdr:col>0</xdr:col>
      <xdr:colOff>139700</xdr:colOff>
      <xdr:row>136</xdr:row>
      <xdr:rowOff>12700</xdr:rowOff>
    </xdr:to>
    <xdr:cxnSp macro="">
      <xdr:nvCxnSpPr>
        <xdr:cNvPr id="3" name="2 Conector recto"/>
        <xdr:cNvCxnSpPr/>
      </xdr:nvCxnSpPr>
      <xdr:spPr>
        <a:xfrm flipH="1">
          <a:off x="127000" y="27578050"/>
          <a:ext cx="12700" cy="3019425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117</xdr:row>
      <xdr:rowOff>152400</xdr:rowOff>
    </xdr:from>
    <xdr:to>
      <xdr:col>0</xdr:col>
      <xdr:colOff>122768</xdr:colOff>
      <xdr:row>134</xdr:row>
      <xdr:rowOff>222251</xdr:rowOff>
    </xdr:to>
    <xdr:sp macro="" textlink="">
      <xdr:nvSpPr>
        <xdr:cNvPr id="2" name="1 Rectángulo"/>
        <xdr:cNvSpPr/>
      </xdr:nvSpPr>
      <xdr:spPr>
        <a:xfrm>
          <a:off x="0" y="27460575"/>
          <a:ext cx="122768" cy="3346451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GT"/>
        </a:p>
      </xdr:txBody>
    </xdr:sp>
    <xdr:clientData/>
  </xdr:twoCellAnchor>
  <xdr:twoCellAnchor>
    <xdr:from>
      <xdr:col>0</xdr:col>
      <xdr:colOff>127000</xdr:colOff>
      <xdr:row>118</xdr:row>
      <xdr:rowOff>12700</xdr:rowOff>
    </xdr:from>
    <xdr:to>
      <xdr:col>0</xdr:col>
      <xdr:colOff>139700</xdr:colOff>
      <xdr:row>134</xdr:row>
      <xdr:rowOff>12700</xdr:rowOff>
    </xdr:to>
    <xdr:cxnSp macro="">
      <xdr:nvCxnSpPr>
        <xdr:cNvPr id="3" name="2 Conector recto"/>
        <xdr:cNvCxnSpPr/>
      </xdr:nvCxnSpPr>
      <xdr:spPr>
        <a:xfrm flipH="1">
          <a:off x="127000" y="27578050"/>
          <a:ext cx="12700" cy="3019425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117</xdr:row>
      <xdr:rowOff>152400</xdr:rowOff>
    </xdr:from>
    <xdr:to>
      <xdr:col>0</xdr:col>
      <xdr:colOff>122768</xdr:colOff>
      <xdr:row>134</xdr:row>
      <xdr:rowOff>222251</xdr:rowOff>
    </xdr:to>
    <xdr:sp macro="" textlink="">
      <xdr:nvSpPr>
        <xdr:cNvPr id="2" name="1 Rectángulo"/>
        <xdr:cNvSpPr/>
      </xdr:nvSpPr>
      <xdr:spPr>
        <a:xfrm>
          <a:off x="0" y="27003375"/>
          <a:ext cx="122768" cy="3346451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GT"/>
        </a:p>
      </xdr:txBody>
    </xdr:sp>
    <xdr:clientData/>
  </xdr:twoCellAnchor>
  <xdr:twoCellAnchor>
    <xdr:from>
      <xdr:col>0</xdr:col>
      <xdr:colOff>127000</xdr:colOff>
      <xdr:row>118</xdr:row>
      <xdr:rowOff>12700</xdr:rowOff>
    </xdr:from>
    <xdr:to>
      <xdr:col>0</xdr:col>
      <xdr:colOff>139700</xdr:colOff>
      <xdr:row>134</xdr:row>
      <xdr:rowOff>12700</xdr:rowOff>
    </xdr:to>
    <xdr:cxnSp macro="">
      <xdr:nvCxnSpPr>
        <xdr:cNvPr id="3" name="2 Conector recto"/>
        <xdr:cNvCxnSpPr/>
      </xdr:nvCxnSpPr>
      <xdr:spPr>
        <a:xfrm flipH="1">
          <a:off x="127000" y="27120850"/>
          <a:ext cx="12700" cy="3019425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7"/>
  <sheetViews>
    <sheetView showGridLines="0" zoomScale="75" zoomScaleNormal="75" workbookViewId="0">
      <selection activeCell="C21" sqref="C21"/>
    </sheetView>
  </sheetViews>
  <sheetFormatPr baseColWidth="10" defaultColWidth="11.42578125" defaultRowHeight="18"/>
  <cols>
    <col min="1" max="1" width="11.7109375" style="1" customWidth="1"/>
    <col min="2" max="2" width="67.7109375" style="1" customWidth="1"/>
    <col min="3" max="3" width="18.7109375" style="1" customWidth="1"/>
    <col min="4" max="5" width="17.7109375" style="1" customWidth="1"/>
    <col min="6" max="7" width="17.7109375" style="5" customWidth="1"/>
    <col min="8" max="8" width="14.7109375" style="1" customWidth="1"/>
    <col min="9" max="9" width="18.7109375" style="1" customWidth="1"/>
    <col min="10" max="11" width="19.7109375" style="5" customWidth="1"/>
    <col min="12" max="12" width="12.7109375" style="1" customWidth="1"/>
    <col min="13" max="13" width="7" style="1" customWidth="1"/>
    <col min="14" max="14" width="19.5703125" style="1" bestFit="1" customWidth="1"/>
    <col min="15" max="16384" width="11.42578125" style="1"/>
  </cols>
  <sheetData>
    <row r="1" spans="1:14">
      <c r="A1" s="47" t="s">
        <v>39</v>
      </c>
      <c r="B1" s="47"/>
      <c r="C1" s="47"/>
      <c r="D1" s="47"/>
      <c r="E1" s="47"/>
      <c r="F1" s="97"/>
      <c r="G1" s="97"/>
      <c r="H1" s="47"/>
      <c r="I1" s="47"/>
      <c r="J1" s="97"/>
      <c r="K1" s="97"/>
      <c r="L1" s="47"/>
    </row>
    <row r="2" spans="1:14">
      <c r="A2" s="47" t="s">
        <v>119</v>
      </c>
      <c r="B2" s="47"/>
      <c r="C2" s="47"/>
      <c r="D2" s="47"/>
      <c r="E2" s="47"/>
      <c r="F2" s="97"/>
      <c r="G2" s="97"/>
      <c r="H2" s="47"/>
      <c r="I2" s="47"/>
      <c r="J2" s="97"/>
      <c r="K2" s="97"/>
      <c r="L2" s="47"/>
    </row>
    <row r="3" spans="1:14">
      <c r="A3" s="47" t="s">
        <v>130</v>
      </c>
      <c r="B3" s="47"/>
      <c r="C3" s="47"/>
      <c r="D3" s="47"/>
      <c r="E3" s="47"/>
      <c r="F3" s="97"/>
      <c r="G3" s="97"/>
      <c r="H3" s="47"/>
      <c r="I3" s="47"/>
      <c r="J3" s="97"/>
      <c r="K3" s="97"/>
      <c r="L3" s="47"/>
    </row>
    <row r="4" spans="1:14" ht="17.850000000000001" customHeight="1">
      <c r="A4" s="47" t="s">
        <v>0</v>
      </c>
      <c r="B4" s="47"/>
      <c r="C4" s="47"/>
      <c r="D4" s="47"/>
      <c r="E4" s="47"/>
      <c r="F4" s="97"/>
      <c r="G4" s="97"/>
      <c r="H4" s="47"/>
      <c r="I4" s="47"/>
      <c r="J4" s="97"/>
      <c r="K4" s="97"/>
      <c r="L4" s="47"/>
    </row>
    <row r="5" spans="1:14" ht="17.850000000000001" customHeight="1" thickBot="1">
      <c r="A5" s="47"/>
      <c r="B5" s="47"/>
      <c r="C5" s="47"/>
      <c r="D5" s="47"/>
      <c r="E5" s="47"/>
      <c r="F5" s="97"/>
      <c r="G5" s="97"/>
      <c r="H5" s="47"/>
      <c r="I5" s="47"/>
      <c r="J5" s="97"/>
      <c r="K5" s="97"/>
      <c r="L5" s="47"/>
    </row>
    <row r="6" spans="1:14" ht="18.75" thickBot="1">
      <c r="A6" s="260" t="s">
        <v>5</v>
      </c>
      <c r="B6" s="262" t="s">
        <v>40</v>
      </c>
      <c r="C6" s="3" t="s">
        <v>1</v>
      </c>
      <c r="D6" s="264" t="s">
        <v>147</v>
      </c>
      <c r="E6" s="264"/>
      <c r="F6" s="264" t="s">
        <v>38</v>
      </c>
      <c r="G6" s="264"/>
      <c r="H6" s="3" t="s">
        <v>42</v>
      </c>
      <c r="I6" s="3" t="s">
        <v>1</v>
      </c>
      <c r="J6" s="257" t="s">
        <v>2</v>
      </c>
      <c r="K6" s="4" t="s">
        <v>29</v>
      </c>
      <c r="L6" s="3" t="s">
        <v>31</v>
      </c>
    </row>
    <row r="7" spans="1:14" ht="18.75" thickBot="1">
      <c r="A7" s="261"/>
      <c r="B7" s="263"/>
      <c r="C7" s="6" t="s">
        <v>3</v>
      </c>
      <c r="D7" s="7" t="s">
        <v>145</v>
      </c>
      <c r="E7" s="7" t="s">
        <v>146</v>
      </c>
      <c r="F7" s="7" t="s">
        <v>145</v>
      </c>
      <c r="G7" s="7" t="s">
        <v>146</v>
      </c>
      <c r="H7" s="6" t="s">
        <v>33</v>
      </c>
      <c r="I7" s="6" t="s">
        <v>4</v>
      </c>
      <c r="J7" s="258"/>
      <c r="K7" s="8" t="s">
        <v>30</v>
      </c>
      <c r="L7" s="9" t="s">
        <v>32</v>
      </c>
    </row>
    <row r="8" spans="1:14">
      <c r="A8" s="69"/>
      <c r="B8" s="71" t="s">
        <v>116</v>
      </c>
      <c r="C8" s="13"/>
      <c r="D8" s="13"/>
      <c r="E8" s="13"/>
      <c r="F8" s="98"/>
      <c r="G8" s="98"/>
      <c r="H8" s="13"/>
      <c r="I8" s="13"/>
      <c r="J8" s="98"/>
      <c r="K8" s="98"/>
      <c r="L8" s="13"/>
    </row>
    <row r="9" spans="1:14" s="5" customFormat="1">
      <c r="A9" s="60"/>
      <c r="B9" s="70" t="s">
        <v>117</v>
      </c>
      <c r="C9" s="52">
        <v>1077959.21</v>
      </c>
      <c r="D9" s="127"/>
      <c r="E9" s="52"/>
      <c r="F9" s="127"/>
      <c r="G9" s="127"/>
      <c r="H9" s="127"/>
      <c r="I9" s="128">
        <f t="shared" ref="I9:I16" si="0">C9+D9-E9+F9-G9</f>
        <v>1077959.21</v>
      </c>
      <c r="J9" s="133"/>
      <c r="K9" s="122">
        <f t="shared" ref="K9:K16" si="1">I9-J9+H9</f>
        <v>1077959.21</v>
      </c>
      <c r="L9" s="146">
        <f>J9/J18</f>
        <v>0</v>
      </c>
    </row>
    <row r="10" spans="1:14" s="5" customFormat="1">
      <c r="A10" s="60" t="s">
        <v>27</v>
      </c>
      <c r="B10" s="54" t="s">
        <v>54</v>
      </c>
      <c r="C10" s="52">
        <f>12500+60000+1000</f>
        <v>73500</v>
      </c>
      <c r="D10" s="52"/>
      <c r="E10" s="52"/>
      <c r="F10" s="52"/>
      <c r="G10" s="52"/>
      <c r="H10" s="52"/>
      <c r="I10" s="52">
        <f t="shared" si="0"/>
        <v>73500</v>
      </c>
      <c r="J10" s="52">
        <v>11966</v>
      </c>
      <c r="K10" s="122">
        <v>0</v>
      </c>
      <c r="L10" s="146">
        <f>J10/J18</f>
        <v>3.7134114076581869E-2</v>
      </c>
      <c r="N10" s="147"/>
    </row>
    <row r="11" spans="1:14" s="5" customFormat="1">
      <c r="A11" s="148" t="s">
        <v>95</v>
      </c>
      <c r="B11" s="54" t="s">
        <v>96</v>
      </c>
      <c r="C11" s="52">
        <v>4000</v>
      </c>
      <c r="D11" s="52"/>
      <c r="E11" s="52"/>
      <c r="F11" s="52"/>
      <c r="G11" s="52"/>
      <c r="H11" s="52"/>
      <c r="I11" s="52">
        <f t="shared" si="0"/>
        <v>4000</v>
      </c>
      <c r="J11" s="52">
        <f>147.72</f>
        <v>147.72</v>
      </c>
      <c r="K11" s="122">
        <v>0</v>
      </c>
      <c r="L11" s="146">
        <f>J11/J18</f>
        <v>4.5841980038381028E-4</v>
      </c>
      <c r="N11" s="147"/>
    </row>
    <row r="12" spans="1:14" s="5" customFormat="1">
      <c r="A12" s="60" t="s">
        <v>97</v>
      </c>
      <c r="B12" s="54" t="s">
        <v>133</v>
      </c>
      <c r="C12" s="52">
        <v>3172620</v>
      </c>
      <c r="D12" s="52"/>
      <c r="E12" s="52"/>
      <c r="F12" s="52"/>
      <c r="G12" s="52"/>
      <c r="H12" s="52"/>
      <c r="I12" s="52">
        <f t="shared" si="0"/>
        <v>3172620</v>
      </c>
      <c r="J12" s="133">
        <v>0</v>
      </c>
      <c r="K12" s="122">
        <f t="shared" si="1"/>
        <v>3172620</v>
      </c>
      <c r="L12" s="146">
        <f>J12/J18</f>
        <v>0</v>
      </c>
      <c r="N12" s="149"/>
    </row>
    <row r="13" spans="1:14" s="5" customFormat="1">
      <c r="A13" s="60" t="s">
        <v>97</v>
      </c>
      <c r="B13" s="54" t="s">
        <v>134</v>
      </c>
      <c r="C13" s="52">
        <v>1828000</v>
      </c>
      <c r="D13" s="52"/>
      <c r="E13" s="52"/>
      <c r="F13" s="52"/>
      <c r="G13" s="52"/>
      <c r="H13" s="52"/>
      <c r="I13" s="52">
        <f t="shared" si="0"/>
        <v>1828000</v>
      </c>
      <c r="J13" s="133">
        <v>310123.67</v>
      </c>
      <c r="K13" s="122">
        <f t="shared" si="1"/>
        <v>1517876.33</v>
      </c>
      <c r="L13" s="146">
        <f>J13/J18</f>
        <v>0.96240746612303441</v>
      </c>
    </row>
    <row r="14" spans="1:14" s="5" customFormat="1">
      <c r="A14" s="60" t="s">
        <v>97</v>
      </c>
      <c r="B14" s="54" t="s">
        <v>99</v>
      </c>
      <c r="C14" s="52">
        <v>20000</v>
      </c>
      <c r="D14" s="52"/>
      <c r="E14" s="52"/>
      <c r="F14" s="52"/>
      <c r="G14" s="52"/>
      <c r="H14" s="52"/>
      <c r="I14" s="52">
        <f>C14+D14-E14+F14-G14</f>
        <v>20000</v>
      </c>
      <c r="J14" s="52">
        <v>0</v>
      </c>
      <c r="K14" s="122">
        <f>I14-J14+H14</f>
        <v>20000</v>
      </c>
      <c r="L14" s="146">
        <v>0</v>
      </c>
    </row>
    <row r="15" spans="1:14" s="5" customFormat="1">
      <c r="A15" s="60" t="s">
        <v>97</v>
      </c>
      <c r="B15" s="54" t="s">
        <v>144</v>
      </c>
      <c r="C15" s="52">
        <v>0</v>
      </c>
      <c r="D15" s="52"/>
      <c r="E15" s="52"/>
      <c r="F15" s="52"/>
      <c r="G15" s="52"/>
      <c r="H15" s="52"/>
      <c r="I15" s="52">
        <f t="shared" si="0"/>
        <v>0</v>
      </c>
      <c r="J15" s="52">
        <v>0</v>
      </c>
      <c r="K15" s="122">
        <f t="shared" si="1"/>
        <v>0</v>
      </c>
      <c r="L15" s="146">
        <v>0</v>
      </c>
    </row>
    <row r="16" spans="1:14" s="5" customFormat="1">
      <c r="A16" s="60" t="s">
        <v>97</v>
      </c>
      <c r="B16" s="54" t="s">
        <v>98</v>
      </c>
      <c r="C16" s="52">
        <v>0</v>
      </c>
      <c r="D16" s="52"/>
      <c r="E16" s="52"/>
      <c r="F16" s="52"/>
      <c r="G16" s="52"/>
      <c r="H16" s="52"/>
      <c r="I16" s="52">
        <f t="shared" si="0"/>
        <v>0</v>
      </c>
      <c r="J16" s="52">
        <v>0</v>
      </c>
      <c r="K16" s="122">
        <f t="shared" si="1"/>
        <v>0</v>
      </c>
      <c r="L16" s="146">
        <v>0</v>
      </c>
    </row>
    <row r="17" spans="1:14" s="5" customFormat="1" ht="18.75" thickBot="1">
      <c r="A17" s="150"/>
      <c r="B17" s="151"/>
      <c r="C17" s="128">
        <v>0</v>
      </c>
      <c r="D17" s="128"/>
      <c r="E17" s="128"/>
      <c r="F17" s="128"/>
      <c r="G17" s="128"/>
      <c r="H17" s="128"/>
      <c r="I17" s="128">
        <f>H17</f>
        <v>0</v>
      </c>
      <c r="J17" s="52">
        <v>0</v>
      </c>
      <c r="K17" s="123">
        <f>-J17+H17</f>
        <v>0</v>
      </c>
      <c r="L17" s="152">
        <f>J17/J18</f>
        <v>0</v>
      </c>
      <c r="N17" s="42"/>
    </row>
    <row r="18" spans="1:14" ht="18.75" customHeight="1" thickBot="1">
      <c r="A18" s="68"/>
      <c r="B18" s="67" t="s">
        <v>6</v>
      </c>
      <c r="C18" s="11">
        <f t="shared" ref="C18:K18" si="2">SUM(C9:C17)</f>
        <v>6176079.21</v>
      </c>
      <c r="D18" s="63">
        <f t="shared" si="2"/>
        <v>0</v>
      </c>
      <c r="E18" s="63">
        <f t="shared" si="2"/>
        <v>0</v>
      </c>
      <c r="F18" s="63">
        <f t="shared" si="2"/>
        <v>0</v>
      </c>
      <c r="G18" s="63">
        <f t="shared" si="2"/>
        <v>0</v>
      </c>
      <c r="H18" s="63">
        <f t="shared" si="2"/>
        <v>0</v>
      </c>
      <c r="I18" s="11">
        <f t="shared" si="2"/>
        <v>6176079.21</v>
      </c>
      <c r="J18" s="11">
        <f t="shared" si="2"/>
        <v>322237.38999999996</v>
      </c>
      <c r="K18" s="11">
        <f t="shared" si="2"/>
        <v>5788455.54</v>
      </c>
      <c r="L18" s="12">
        <f>SUM(L17:L17)</f>
        <v>0</v>
      </c>
    </row>
    <row r="19" spans="1:14">
      <c r="A19" s="141" t="s">
        <v>5</v>
      </c>
      <c r="B19" s="142" t="s">
        <v>115</v>
      </c>
      <c r="C19" s="143"/>
      <c r="D19" s="143"/>
      <c r="E19" s="13"/>
      <c r="F19" s="98"/>
      <c r="G19" s="98"/>
      <c r="H19" s="13"/>
      <c r="I19" s="13"/>
      <c r="J19" s="99"/>
      <c r="K19" s="98"/>
      <c r="L19" s="13"/>
    </row>
    <row r="20" spans="1:14">
      <c r="A20" s="72">
        <v>0</v>
      </c>
      <c r="B20" s="140" t="s">
        <v>9</v>
      </c>
      <c r="C20" s="14"/>
      <c r="D20" s="48"/>
      <c r="E20" s="48"/>
      <c r="F20" s="100"/>
      <c r="G20" s="100"/>
      <c r="H20" s="48"/>
      <c r="I20" s="48"/>
      <c r="J20" s="100"/>
      <c r="K20" s="124"/>
      <c r="L20" s="15"/>
    </row>
    <row r="21" spans="1:14">
      <c r="A21" s="53" t="s">
        <v>14</v>
      </c>
      <c r="B21" s="54" t="s">
        <v>84</v>
      </c>
      <c r="C21" s="14">
        <v>574724</v>
      </c>
      <c r="D21" s="14"/>
      <c r="E21" s="14"/>
      <c r="F21" s="76"/>
      <c r="G21" s="76"/>
      <c r="H21" s="14"/>
      <c r="I21" s="10">
        <f t="shared" ref="I21:I99" si="3">C21+D21-E21+F21-G21</f>
        <v>574724</v>
      </c>
      <c r="J21" s="76">
        <v>41477</v>
      </c>
      <c r="K21" s="122">
        <f t="shared" ref="K21:K28" si="4">I21-J21</f>
        <v>533247</v>
      </c>
      <c r="L21" s="15">
        <f t="shared" ref="L21:L32" si="5">J21/$J$108</f>
        <v>0.1668679177086943</v>
      </c>
      <c r="N21" s="75"/>
    </row>
    <row r="22" spans="1:14">
      <c r="A22" s="53" t="s">
        <v>34</v>
      </c>
      <c r="B22" s="54" t="s">
        <v>35</v>
      </c>
      <c r="C22" s="14">
        <v>4500</v>
      </c>
      <c r="D22" s="14"/>
      <c r="E22" s="14"/>
      <c r="F22" s="76"/>
      <c r="G22" s="76"/>
      <c r="H22" s="14"/>
      <c r="I22" s="10">
        <f t="shared" si="3"/>
        <v>4500</v>
      </c>
      <c r="J22" s="76">
        <v>375</v>
      </c>
      <c r="K22" s="122">
        <f t="shared" si="4"/>
        <v>4125</v>
      </c>
      <c r="L22" s="15">
        <f t="shared" si="5"/>
        <v>1.5086787651170616E-3</v>
      </c>
      <c r="N22" s="75"/>
    </row>
    <row r="23" spans="1:14">
      <c r="A23" s="53" t="s">
        <v>15</v>
      </c>
      <c r="B23" s="54" t="s">
        <v>43</v>
      </c>
      <c r="C23" s="14">
        <v>62500</v>
      </c>
      <c r="D23" s="14"/>
      <c r="E23" s="14"/>
      <c r="F23" s="76"/>
      <c r="G23" s="76"/>
      <c r="H23" s="14"/>
      <c r="I23" s="10">
        <f t="shared" si="3"/>
        <v>62500</v>
      </c>
      <c r="J23" s="76">
        <v>4750</v>
      </c>
      <c r="K23" s="122">
        <f t="shared" si="4"/>
        <v>57750</v>
      </c>
      <c r="L23" s="15">
        <f t="shared" si="5"/>
        <v>1.9109931024816111E-2</v>
      </c>
      <c r="N23" s="75"/>
    </row>
    <row r="24" spans="1:14">
      <c r="A24" s="53" t="s">
        <v>135</v>
      </c>
      <c r="B24" s="54" t="s">
        <v>136</v>
      </c>
      <c r="C24" s="14">
        <v>357550</v>
      </c>
      <c r="D24" s="14"/>
      <c r="E24" s="14"/>
      <c r="F24" s="76"/>
      <c r="G24" s="76"/>
      <c r="H24" s="14"/>
      <c r="I24" s="10">
        <f t="shared" ref="I24" si="6">C24+D24-E24+F24-G24</f>
        <v>357550</v>
      </c>
      <c r="J24" s="76">
        <v>0</v>
      </c>
      <c r="K24" s="122">
        <f t="shared" ref="K24" si="7">I24-J24</f>
        <v>357550</v>
      </c>
      <c r="L24" s="15">
        <f t="shared" si="5"/>
        <v>0</v>
      </c>
      <c r="N24" s="75"/>
    </row>
    <row r="25" spans="1:14">
      <c r="A25" s="53" t="s">
        <v>137</v>
      </c>
      <c r="B25" s="54" t="s">
        <v>138</v>
      </c>
      <c r="C25" s="14">
        <v>5750</v>
      </c>
      <c r="D25" s="14"/>
      <c r="E25" s="14"/>
      <c r="F25" s="76"/>
      <c r="G25" s="76"/>
      <c r="H25" s="14"/>
      <c r="I25" s="10">
        <f t="shared" si="3"/>
        <v>5750</v>
      </c>
      <c r="J25" s="76">
        <v>0</v>
      </c>
      <c r="K25" s="122">
        <f t="shared" si="4"/>
        <v>5750</v>
      </c>
      <c r="L25" s="15">
        <f t="shared" si="5"/>
        <v>0</v>
      </c>
      <c r="N25" s="75"/>
    </row>
    <row r="26" spans="1:14">
      <c r="A26" s="53" t="s">
        <v>100</v>
      </c>
      <c r="B26" s="54" t="s">
        <v>101</v>
      </c>
      <c r="C26" s="14">
        <v>15400</v>
      </c>
      <c r="D26" s="14"/>
      <c r="E26" s="14"/>
      <c r="F26" s="76"/>
      <c r="G26" s="76"/>
      <c r="H26" s="14"/>
      <c r="I26" s="10">
        <f>C26+D26-E26+F26-G26</f>
        <v>15400</v>
      </c>
      <c r="J26" s="76">
        <v>0</v>
      </c>
      <c r="K26" s="122">
        <f t="shared" si="4"/>
        <v>15400</v>
      </c>
      <c r="L26" s="15">
        <f t="shared" si="5"/>
        <v>0</v>
      </c>
      <c r="N26" s="75"/>
    </row>
    <row r="27" spans="1:14">
      <c r="A27" s="53" t="s">
        <v>21</v>
      </c>
      <c r="B27" s="54" t="s">
        <v>22</v>
      </c>
      <c r="C27" s="14">
        <v>37627.240000000005</v>
      </c>
      <c r="D27" s="14"/>
      <c r="E27" s="14"/>
      <c r="F27" s="76"/>
      <c r="G27" s="76"/>
      <c r="H27" s="14"/>
      <c r="I27" s="10">
        <f t="shared" si="3"/>
        <v>37627.240000000005</v>
      </c>
      <c r="J27" s="76">
        <v>653.67000000000007</v>
      </c>
      <c r="K27" s="122">
        <f t="shared" si="4"/>
        <v>36973.570000000007</v>
      </c>
      <c r="L27" s="15">
        <f t="shared" si="5"/>
        <v>2.6298081290508524E-3</v>
      </c>
      <c r="N27" s="75"/>
    </row>
    <row r="28" spans="1:14">
      <c r="A28" s="53" t="s">
        <v>16</v>
      </c>
      <c r="B28" s="54" t="s">
        <v>125</v>
      </c>
      <c r="C28" s="14">
        <v>111250.887308</v>
      </c>
      <c r="D28" s="14"/>
      <c r="E28" s="14"/>
      <c r="F28" s="76"/>
      <c r="G28" s="76"/>
      <c r="H28" s="10"/>
      <c r="I28" s="10">
        <f t="shared" si="3"/>
        <v>111250.887308</v>
      </c>
      <c r="J28" s="76">
        <v>0</v>
      </c>
      <c r="K28" s="122">
        <f t="shared" si="4"/>
        <v>111250.887308</v>
      </c>
      <c r="L28" s="15">
        <f t="shared" si="5"/>
        <v>0</v>
      </c>
      <c r="N28" s="75"/>
    </row>
    <row r="29" spans="1:14">
      <c r="A29" s="53" t="s">
        <v>17</v>
      </c>
      <c r="B29" s="54" t="s">
        <v>126</v>
      </c>
      <c r="C29" s="14">
        <v>10426.5124</v>
      </c>
      <c r="D29" s="14"/>
      <c r="E29" s="14"/>
      <c r="F29" s="76"/>
      <c r="G29" s="76"/>
      <c r="H29" s="14"/>
      <c r="I29" s="10">
        <f t="shared" si="3"/>
        <v>10426.5124</v>
      </c>
      <c r="J29" s="76">
        <v>0</v>
      </c>
      <c r="K29" s="122">
        <f t="shared" ref="K29:K85" si="8">I29-J29</f>
        <v>10426.5124</v>
      </c>
      <c r="L29" s="15">
        <f t="shared" si="5"/>
        <v>0</v>
      </c>
      <c r="N29" s="75"/>
    </row>
    <row r="30" spans="1:14">
      <c r="A30" s="53" t="s">
        <v>18</v>
      </c>
      <c r="B30" s="55" t="s">
        <v>82</v>
      </c>
      <c r="C30" s="14">
        <v>78272.833333333328</v>
      </c>
      <c r="D30" s="14"/>
      <c r="E30" s="14"/>
      <c r="F30" s="76"/>
      <c r="G30" s="76"/>
      <c r="H30" s="14"/>
      <c r="I30" s="10">
        <f t="shared" si="3"/>
        <v>78272.833333333328</v>
      </c>
      <c r="J30" s="76">
        <v>0</v>
      </c>
      <c r="K30" s="122">
        <f t="shared" si="8"/>
        <v>78272.833333333328</v>
      </c>
      <c r="L30" s="15">
        <f t="shared" si="5"/>
        <v>0</v>
      </c>
      <c r="N30" s="75"/>
    </row>
    <row r="31" spans="1:14">
      <c r="A31" s="53" t="s">
        <v>19</v>
      </c>
      <c r="B31" s="54" t="s">
        <v>85</v>
      </c>
      <c r="C31" s="14">
        <v>78272.833333333328</v>
      </c>
      <c r="D31" s="14"/>
      <c r="E31" s="14"/>
      <c r="F31" s="76"/>
      <c r="G31" s="76"/>
      <c r="H31" s="14"/>
      <c r="I31" s="10">
        <f t="shared" si="3"/>
        <v>78272.833333333328</v>
      </c>
      <c r="J31" s="76">
        <v>0</v>
      </c>
      <c r="K31" s="122">
        <f t="shared" si="8"/>
        <v>78272.833333333328</v>
      </c>
      <c r="L31" s="15">
        <f t="shared" si="5"/>
        <v>0</v>
      </c>
      <c r="N31" s="75"/>
    </row>
    <row r="32" spans="1:14">
      <c r="A32" s="53" t="s">
        <v>20</v>
      </c>
      <c r="B32" s="54" t="s">
        <v>83</v>
      </c>
      <c r="C32" s="14">
        <v>4800</v>
      </c>
      <c r="D32" s="14"/>
      <c r="E32" s="14"/>
      <c r="F32" s="76"/>
      <c r="G32" s="76"/>
      <c r="H32" s="14"/>
      <c r="I32" s="10">
        <f t="shared" si="3"/>
        <v>4800</v>
      </c>
      <c r="J32" s="76">
        <v>0</v>
      </c>
      <c r="K32" s="122">
        <f t="shared" si="8"/>
        <v>4800</v>
      </c>
      <c r="L32" s="15">
        <f t="shared" si="5"/>
        <v>0</v>
      </c>
      <c r="N32" s="75"/>
    </row>
    <row r="33" spans="1:14">
      <c r="A33" s="59">
        <v>1</v>
      </c>
      <c r="B33" s="59" t="s">
        <v>10</v>
      </c>
      <c r="C33" s="14"/>
      <c r="D33" s="14"/>
      <c r="E33" s="14"/>
      <c r="F33" s="76"/>
      <c r="G33" s="76"/>
      <c r="H33" s="14"/>
      <c r="I33" s="10"/>
      <c r="J33" s="105"/>
      <c r="K33" s="122"/>
      <c r="L33" s="15"/>
      <c r="N33" s="75"/>
    </row>
    <row r="34" spans="1:14">
      <c r="A34" s="60">
        <v>111</v>
      </c>
      <c r="B34" s="54" t="s">
        <v>44</v>
      </c>
      <c r="C34" s="14">
        <v>13125</v>
      </c>
      <c r="D34" s="14"/>
      <c r="E34" s="14"/>
      <c r="F34" s="76"/>
      <c r="G34" s="76"/>
      <c r="H34" s="14"/>
      <c r="I34" s="10">
        <f t="shared" si="3"/>
        <v>13125</v>
      </c>
      <c r="J34" s="76">
        <v>403.56</v>
      </c>
      <c r="K34" s="122">
        <f t="shared" si="8"/>
        <v>12721.44</v>
      </c>
      <c r="L34" s="15">
        <f t="shared" ref="L34:L65" si="9">J34/$J$108</f>
        <v>1.6235797398683768E-3</v>
      </c>
      <c r="N34" s="75"/>
    </row>
    <row r="35" spans="1:14">
      <c r="A35" s="60">
        <v>113</v>
      </c>
      <c r="B35" s="54" t="s">
        <v>53</v>
      </c>
      <c r="C35" s="14">
        <v>24780</v>
      </c>
      <c r="D35" s="14"/>
      <c r="E35" s="14"/>
      <c r="F35" s="76"/>
      <c r="G35" s="76"/>
      <c r="H35" s="14"/>
      <c r="I35" s="10">
        <f t="shared" si="3"/>
        <v>24780</v>
      </c>
      <c r="J35" s="76">
        <v>1382</v>
      </c>
      <c r="K35" s="122">
        <f t="shared" si="8"/>
        <v>23398</v>
      </c>
      <c r="L35" s="15">
        <f t="shared" si="9"/>
        <v>5.5599841423780777E-3</v>
      </c>
      <c r="N35" s="75"/>
    </row>
    <row r="36" spans="1:14">
      <c r="A36" s="60">
        <v>114</v>
      </c>
      <c r="B36" s="54" t="s">
        <v>124</v>
      </c>
      <c r="C36" s="14">
        <v>5000</v>
      </c>
      <c r="D36" s="14"/>
      <c r="E36" s="14"/>
      <c r="F36" s="76"/>
      <c r="G36" s="76"/>
      <c r="H36" s="14"/>
      <c r="I36" s="10">
        <f t="shared" si="3"/>
        <v>5000</v>
      </c>
      <c r="J36" s="76">
        <v>20</v>
      </c>
      <c r="K36" s="122">
        <f t="shared" si="8"/>
        <v>4980</v>
      </c>
      <c r="L36" s="15">
        <f t="shared" si="9"/>
        <v>8.0462867472909955E-5</v>
      </c>
      <c r="N36" s="75"/>
    </row>
    <row r="37" spans="1:14">
      <c r="A37" s="60">
        <v>121</v>
      </c>
      <c r="B37" s="54" t="s">
        <v>55</v>
      </c>
      <c r="C37" s="14">
        <v>20000</v>
      </c>
      <c r="D37" s="14"/>
      <c r="E37" s="14"/>
      <c r="F37" s="76"/>
      <c r="G37" s="76"/>
      <c r="H37" s="14"/>
      <c r="I37" s="10">
        <f t="shared" si="3"/>
        <v>20000</v>
      </c>
      <c r="J37" s="76">
        <v>1989</v>
      </c>
      <c r="K37" s="122">
        <f t="shared" si="8"/>
        <v>18011</v>
      </c>
      <c r="L37" s="15">
        <f t="shared" si="9"/>
        <v>8.0020321701808946E-3</v>
      </c>
      <c r="N37" s="75"/>
    </row>
    <row r="38" spans="1:14">
      <c r="A38" s="60">
        <v>122</v>
      </c>
      <c r="B38" s="54" t="s">
        <v>86</v>
      </c>
      <c r="C38" s="14">
        <v>17950</v>
      </c>
      <c r="D38" s="14"/>
      <c r="E38" s="14"/>
      <c r="F38" s="76"/>
      <c r="G38" s="76"/>
      <c r="H38" s="14"/>
      <c r="I38" s="10">
        <f t="shared" si="3"/>
        <v>17950</v>
      </c>
      <c r="J38" s="76">
        <v>296</v>
      </c>
      <c r="K38" s="122">
        <f t="shared" si="8"/>
        <v>17654</v>
      </c>
      <c r="L38" s="15">
        <f t="shared" si="9"/>
        <v>1.1908504385990672E-3</v>
      </c>
      <c r="M38" s="65"/>
      <c r="N38" s="75"/>
    </row>
    <row r="39" spans="1:14">
      <c r="A39" s="60">
        <v>131</v>
      </c>
      <c r="B39" s="54" t="s">
        <v>56</v>
      </c>
      <c r="C39" s="14">
        <v>1102000</v>
      </c>
      <c r="D39" s="14"/>
      <c r="E39" s="14"/>
      <c r="F39" s="76"/>
      <c r="G39" s="76"/>
      <c r="H39" s="14"/>
      <c r="I39" s="10">
        <f t="shared" si="3"/>
        <v>1102000</v>
      </c>
      <c r="J39" s="76">
        <v>125122.84</v>
      </c>
      <c r="K39" s="122">
        <f t="shared" si="8"/>
        <v>976877.16</v>
      </c>
      <c r="L39" s="15">
        <f t="shared" si="9"/>
        <v>0.50338712463770574</v>
      </c>
      <c r="N39" s="75"/>
    </row>
    <row r="40" spans="1:14">
      <c r="A40" s="60">
        <v>133</v>
      </c>
      <c r="B40" s="54" t="s">
        <v>57</v>
      </c>
      <c r="C40" s="14">
        <v>4546.67</v>
      </c>
      <c r="D40" s="14"/>
      <c r="E40" s="14"/>
      <c r="F40" s="76"/>
      <c r="G40" s="76"/>
      <c r="H40" s="14"/>
      <c r="I40" s="10">
        <f t="shared" si="3"/>
        <v>4546.67</v>
      </c>
      <c r="J40" s="76">
        <v>0</v>
      </c>
      <c r="K40" s="122">
        <f t="shared" si="8"/>
        <v>4546.67</v>
      </c>
      <c r="L40" s="15">
        <f t="shared" si="9"/>
        <v>0</v>
      </c>
      <c r="N40" s="75"/>
    </row>
    <row r="41" spans="1:14">
      <c r="A41" s="60">
        <v>134</v>
      </c>
      <c r="B41" s="54" t="s">
        <v>87</v>
      </c>
      <c r="C41" s="14">
        <v>0</v>
      </c>
      <c r="D41" s="14"/>
      <c r="E41" s="14"/>
      <c r="F41" s="76"/>
      <c r="G41" s="76"/>
      <c r="H41" s="14"/>
      <c r="I41" s="10">
        <f t="shared" si="3"/>
        <v>0</v>
      </c>
      <c r="J41" s="76">
        <v>0</v>
      </c>
      <c r="K41" s="122">
        <f t="shared" si="8"/>
        <v>0</v>
      </c>
      <c r="L41" s="15">
        <f t="shared" si="9"/>
        <v>0</v>
      </c>
      <c r="N41" s="75"/>
    </row>
    <row r="42" spans="1:14">
      <c r="A42" s="60">
        <v>135</v>
      </c>
      <c r="B42" s="54" t="s">
        <v>102</v>
      </c>
      <c r="C42" s="14">
        <v>124000</v>
      </c>
      <c r="D42" s="14"/>
      <c r="E42" s="14"/>
      <c r="F42" s="76"/>
      <c r="G42" s="76"/>
      <c r="H42" s="14"/>
      <c r="I42" s="10">
        <f>C42+D42-E42+F42-G42</f>
        <v>124000</v>
      </c>
      <c r="J42" s="76">
        <v>6883.12</v>
      </c>
      <c r="K42" s="122">
        <f t="shared" si="8"/>
        <v>117116.88</v>
      </c>
      <c r="L42" s="15">
        <f t="shared" si="9"/>
        <v>2.7691778618006795E-2</v>
      </c>
      <c r="N42" s="75"/>
    </row>
    <row r="43" spans="1:14">
      <c r="A43" s="60">
        <v>141</v>
      </c>
      <c r="B43" s="54" t="s">
        <v>76</v>
      </c>
      <c r="C43" s="14">
        <v>374045.69</v>
      </c>
      <c r="D43" s="14"/>
      <c r="E43" s="14"/>
      <c r="F43" s="76"/>
      <c r="G43" s="76"/>
      <c r="H43" s="14"/>
      <c r="I43" s="10">
        <f t="shared" si="3"/>
        <v>374045.69</v>
      </c>
      <c r="J43" s="76">
        <v>40958.32</v>
      </c>
      <c r="K43" s="122">
        <f t="shared" si="8"/>
        <v>333087.37</v>
      </c>
      <c r="L43" s="15">
        <f t="shared" si="9"/>
        <v>0.16478119370365185</v>
      </c>
      <c r="N43" s="75"/>
    </row>
    <row r="44" spans="1:14">
      <c r="A44" s="60">
        <v>142</v>
      </c>
      <c r="B44" s="54" t="s">
        <v>23</v>
      </c>
      <c r="C44" s="14">
        <v>32600</v>
      </c>
      <c r="D44" s="14"/>
      <c r="E44" s="14"/>
      <c r="F44" s="76"/>
      <c r="G44" s="76"/>
      <c r="H44" s="14"/>
      <c r="I44" s="10">
        <f t="shared" si="3"/>
        <v>32600</v>
      </c>
      <c r="J44" s="76">
        <v>0</v>
      </c>
      <c r="K44" s="122">
        <f t="shared" si="8"/>
        <v>32600</v>
      </c>
      <c r="L44" s="15">
        <f t="shared" si="9"/>
        <v>0</v>
      </c>
      <c r="N44" s="75"/>
    </row>
    <row r="45" spans="1:14">
      <c r="A45" s="60">
        <v>143</v>
      </c>
      <c r="B45" s="54" t="s">
        <v>127</v>
      </c>
      <c r="C45" s="14">
        <v>37071.31</v>
      </c>
      <c r="D45" s="14"/>
      <c r="E45" s="14"/>
      <c r="F45" s="76"/>
      <c r="G45" s="76"/>
      <c r="H45" s="14"/>
      <c r="I45" s="10">
        <f t="shared" si="3"/>
        <v>37071.31</v>
      </c>
      <c r="J45" s="76"/>
      <c r="K45" s="122">
        <f t="shared" si="8"/>
        <v>37071.31</v>
      </c>
      <c r="L45" s="15">
        <f t="shared" si="9"/>
        <v>0</v>
      </c>
      <c r="N45" s="75"/>
    </row>
    <row r="46" spans="1:14">
      <c r="A46" s="60">
        <v>151</v>
      </c>
      <c r="B46" s="54" t="s">
        <v>139</v>
      </c>
      <c r="C46" s="14">
        <v>70560</v>
      </c>
      <c r="D46" s="14"/>
      <c r="E46" s="14"/>
      <c r="F46" s="76"/>
      <c r="G46" s="76"/>
      <c r="H46" s="14"/>
      <c r="I46" s="10">
        <f t="shared" si="3"/>
        <v>70560</v>
      </c>
      <c r="J46" s="76">
        <v>0</v>
      </c>
      <c r="K46" s="122">
        <f t="shared" si="8"/>
        <v>70560</v>
      </c>
      <c r="L46" s="15">
        <f t="shared" si="9"/>
        <v>0</v>
      </c>
      <c r="N46" s="75"/>
    </row>
    <row r="47" spans="1:14">
      <c r="A47" s="60">
        <v>155</v>
      </c>
      <c r="B47" s="54" t="s">
        <v>36</v>
      </c>
      <c r="C47" s="14">
        <v>0</v>
      </c>
      <c r="D47" s="14"/>
      <c r="E47" s="14"/>
      <c r="F47" s="76"/>
      <c r="G47" s="76"/>
      <c r="H47" s="14"/>
      <c r="I47" s="10">
        <f t="shared" si="3"/>
        <v>0</v>
      </c>
      <c r="J47" s="76">
        <v>0</v>
      </c>
      <c r="K47" s="122">
        <f t="shared" si="8"/>
        <v>0</v>
      </c>
      <c r="L47" s="15">
        <f t="shared" si="9"/>
        <v>0</v>
      </c>
      <c r="N47" s="75"/>
    </row>
    <row r="48" spans="1:14">
      <c r="A48" s="60">
        <v>158</v>
      </c>
      <c r="B48" s="54" t="s">
        <v>103</v>
      </c>
      <c r="C48" s="14">
        <v>4000</v>
      </c>
      <c r="D48" s="14"/>
      <c r="E48" s="14"/>
      <c r="F48" s="76"/>
      <c r="G48" s="76"/>
      <c r="H48" s="14"/>
      <c r="I48" s="10">
        <f>C48+D48-E48+F48-G48</f>
        <v>4000</v>
      </c>
      <c r="J48" s="76">
        <v>0</v>
      </c>
      <c r="K48" s="122">
        <f t="shared" si="8"/>
        <v>4000</v>
      </c>
      <c r="L48" s="15">
        <f t="shared" si="9"/>
        <v>0</v>
      </c>
      <c r="N48" s="75"/>
    </row>
    <row r="49" spans="1:14">
      <c r="A49" s="60">
        <v>162</v>
      </c>
      <c r="B49" s="54" t="s">
        <v>58</v>
      </c>
      <c r="C49" s="14">
        <v>1350</v>
      </c>
      <c r="D49" s="14"/>
      <c r="E49" s="14"/>
      <c r="F49" s="76"/>
      <c r="G49" s="76"/>
      <c r="H49" s="14"/>
      <c r="I49" s="10">
        <f t="shared" si="3"/>
        <v>1350</v>
      </c>
      <c r="J49" s="76">
        <v>0</v>
      </c>
      <c r="K49" s="122">
        <f t="shared" si="8"/>
        <v>1350</v>
      </c>
      <c r="L49" s="15">
        <f t="shared" si="9"/>
        <v>0</v>
      </c>
      <c r="N49" s="75"/>
    </row>
    <row r="50" spans="1:14">
      <c r="A50" s="60">
        <v>164</v>
      </c>
      <c r="B50" s="54" t="s">
        <v>45</v>
      </c>
      <c r="C50" s="14">
        <v>12500</v>
      </c>
      <c r="D50" s="14"/>
      <c r="E50" s="14"/>
      <c r="F50" s="76"/>
      <c r="G50" s="76"/>
      <c r="H50" s="14"/>
      <c r="I50" s="10">
        <f t="shared" si="3"/>
        <v>12500</v>
      </c>
      <c r="J50" s="76">
        <v>5250</v>
      </c>
      <c r="K50" s="122">
        <f t="shared" si="8"/>
        <v>7250</v>
      </c>
      <c r="L50" s="15">
        <f t="shared" si="9"/>
        <v>2.1121502711638863E-2</v>
      </c>
      <c r="N50" s="75"/>
    </row>
    <row r="51" spans="1:14">
      <c r="A51" s="60">
        <v>165</v>
      </c>
      <c r="B51" s="54" t="s">
        <v>104</v>
      </c>
      <c r="C51" s="14">
        <v>6900</v>
      </c>
      <c r="D51" s="14"/>
      <c r="E51" s="14"/>
      <c r="F51" s="76"/>
      <c r="G51" s="76"/>
      <c r="H51" s="14"/>
      <c r="I51" s="10">
        <f>C51+D51-E51+F51-G51</f>
        <v>6900</v>
      </c>
      <c r="J51" s="76">
        <v>546.88</v>
      </c>
      <c r="K51" s="122">
        <f t="shared" si="8"/>
        <v>6353.12</v>
      </c>
      <c r="L51" s="15">
        <f t="shared" si="9"/>
        <v>2.2001766481792497E-3</v>
      </c>
      <c r="N51" s="75"/>
    </row>
    <row r="52" spans="1:14">
      <c r="A52" s="60">
        <v>168</v>
      </c>
      <c r="B52" s="54" t="s">
        <v>59</v>
      </c>
      <c r="C52" s="14">
        <v>5500</v>
      </c>
      <c r="D52" s="14"/>
      <c r="E52" s="14"/>
      <c r="F52" s="76"/>
      <c r="G52" s="76"/>
      <c r="H52" s="14"/>
      <c r="I52" s="10">
        <f t="shared" si="3"/>
        <v>5500</v>
      </c>
      <c r="J52" s="76">
        <v>0</v>
      </c>
      <c r="K52" s="122">
        <f t="shared" si="8"/>
        <v>5500</v>
      </c>
      <c r="L52" s="15">
        <f t="shared" si="9"/>
        <v>0</v>
      </c>
      <c r="N52" s="75"/>
    </row>
    <row r="53" spans="1:14">
      <c r="A53" s="60">
        <v>174</v>
      </c>
      <c r="B53" s="54" t="s">
        <v>46</v>
      </c>
      <c r="C53" s="14">
        <v>5000</v>
      </c>
      <c r="D53" s="14"/>
      <c r="E53" s="14"/>
      <c r="F53" s="76"/>
      <c r="G53" s="76"/>
      <c r="H53" s="14"/>
      <c r="I53" s="10">
        <f t="shared" si="3"/>
        <v>5000</v>
      </c>
      <c r="J53" s="76">
        <v>140</v>
      </c>
      <c r="K53" s="122">
        <f t="shared" si="8"/>
        <v>4860</v>
      </c>
      <c r="L53" s="15">
        <f t="shared" si="9"/>
        <v>5.6324007231036961E-4</v>
      </c>
      <c r="N53" s="75"/>
    </row>
    <row r="54" spans="1:14">
      <c r="A54" s="60">
        <v>182</v>
      </c>
      <c r="B54" s="54" t="s">
        <v>61</v>
      </c>
      <c r="C54" s="14">
        <v>0</v>
      </c>
      <c r="D54" s="14"/>
      <c r="E54" s="14"/>
      <c r="F54" s="76"/>
      <c r="G54" s="76"/>
      <c r="H54" s="14"/>
      <c r="I54" s="10">
        <f t="shared" si="3"/>
        <v>0</v>
      </c>
      <c r="J54" s="76">
        <v>0</v>
      </c>
      <c r="K54" s="122">
        <f t="shared" si="8"/>
        <v>0</v>
      </c>
      <c r="L54" s="15">
        <f t="shared" si="9"/>
        <v>0</v>
      </c>
      <c r="N54" s="75"/>
    </row>
    <row r="55" spans="1:14">
      <c r="A55" s="60">
        <v>183</v>
      </c>
      <c r="B55" s="54" t="s">
        <v>105</v>
      </c>
      <c r="C55" s="14">
        <v>160000</v>
      </c>
      <c r="D55" s="14"/>
      <c r="E55" s="14"/>
      <c r="F55" s="76"/>
      <c r="G55" s="76"/>
      <c r="H55" s="14"/>
      <c r="I55" s="10">
        <f>C55+D55-E55+F55-G55</f>
        <v>160000</v>
      </c>
      <c r="J55" s="76">
        <v>0</v>
      </c>
      <c r="K55" s="122">
        <f t="shared" si="8"/>
        <v>160000</v>
      </c>
      <c r="L55" s="15">
        <f t="shared" si="9"/>
        <v>0</v>
      </c>
      <c r="N55" s="75"/>
    </row>
    <row r="56" spans="1:14">
      <c r="A56" s="60">
        <v>184</v>
      </c>
      <c r="B56" s="54" t="s">
        <v>106</v>
      </c>
      <c r="C56" s="14">
        <v>42000</v>
      </c>
      <c r="D56" s="14"/>
      <c r="E56" s="14"/>
      <c r="F56" s="76"/>
      <c r="G56" s="76"/>
      <c r="H56" s="14"/>
      <c r="I56" s="10">
        <f t="shared" si="3"/>
        <v>42000</v>
      </c>
      <c r="J56" s="76">
        <v>0</v>
      </c>
      <c r="K56" s="122">
        <f t="shared" si="8"/>
        <v>42000</v>
      </c>
      <c r="L56" s="15">
        <f t="shared" si="9"/>
        <v>0</v>
      </c>
      <c r="N56" s="75"/>
    </row>
    <row r="57" spans="1:14">
      <c r="A57" s="60">
        <v>185</v>
      </c>
      <c r="B57" s="54" t="s">
        <v>107</v>
      </c>
      <c r="C57" s="14">
        <v>69000</v>
      </c>
      <c r="D57" s="14"/>
      <c r="E57" s="14"/>
      <c r="F57" s="76"/>
      <c r="G57" s="76"/>
      <c r="H57" s="14"/>
      <c r="I57" s="10">
        <f>C57+D57-E57+F57-G57</f>
        <v>69000</v>
      </c>
      <c r="J57" s="76">
        <v>0</v>
      </c>
      <c r="K57" s="122">
        <f t="shared" si="8"/>
        <v>69000</v>
      </c>
      <c r="L57" s="15">
        <f t="shared" si="9"/>
        <v>0</v>
      </c>
      <c r="N57" s="75"/>
    </row>
    <row r="58" spans="1:14">
      <c r="A58" s="60">
        <v>186</v>
      </c>
      <c r="B58" s="54" t="s">
        <v>47</v>
      </c>
      <c r="C58" s="14">
        <v>2000</v>
      </c>
      <c r="D58" s="14"/>
      <c r="E58" s="14"/>
      <c r="F58" s="76"/>
      <c r="G58" s="76"/>
      <c r="H58" s="14"/>
      <c r="I58" s="10">
        <f t="shared" si="3"/>
        <v>2000</v>
      </c>
      <c r="J58" s="76">
        <v>400</v>
      </c>
      <c r="K58" s="122">
        <f t="shared" si="8"/>
        <v>1600</v>
      </c>
      <c r="L58" s="15">
        <f t="shared" si="9"/>
        <v>1.6092573494581989E-3</v>
      </c>
      <c r="N58" s="75"/>
    </row>
    <row r="59" spans="1:14">
      <c r="A59" s="60">
        <v>187</v>
      </c>
      <c r="B59" s="54" t="s">
        <v>108</v>
      </c>
      <c r="C59" s="14">
        <v>51600</v>
      </c>
      <c r="D59" s="14"/>
      <c r="E59" s="14"/>
      <c r="F59" s="76"/>
      <c r="G59" s="76"/>
      <c r="H59" s="14"/>
      <c r="I59" s="10">
        <f>C59+D59-E59+F59-G59</f>
        <v>51600</v>
      </c>
      <c r="J59" s="76">
        <v>0</v>
      </c>
      <c r="K59" s="122">
        <f t="shared" si="8"/>
        <v>51600</v>
      </c>
      <c r="L59" s="15">
        <f t="shared" si="9"/>
        <v>0</v>
      </c>
      <c r="N59" s="75"/>
    </row>
    <row r="60" spans="1:14">
      <c r="A60" s="60">
        <v>188</v>
      </c>
      <c r="B60" s="54" t="s">
        <v>109</v>
      </c>
      <c r="C60" s="14">
        <v>0</v>
      </c>
      <c r="D60" s="14"/>
      <c r="E60" s="14"/>
      <c r="F60" s="76"/>
      <c r="G60" s="76"/>
      <c r="H60" s="14"/>
      <c r="I60" s="10">
        <f t="shared" si="3"/>
        <v>0</v>
      </c>
      <c r="J60" s="76">
        <v>0</v>
      </c>
      <c r="K60" s="122">
        <f t="shared" si="8"/>
        <v>0</v>
      </c>
      <c r="L60" s="15">
        <f t="shared" si="9"/>
        <v>0</v>
      </c>
      <c r="N60" s="75"/>
    </row>
    <row r="61" spans="1:14">
      <c r="A61" s="60">
        <v>189</v>
      </c>
      <c r="B61" s="54" t="s">
        <v>110</v>
      </c>
      <c r="C61" s="14">
        <v>0</v>
      </c>
      <c r="D61" s="14"/>
      <c r="E61" s="14"/>
      <c r="F61" s="76"/>
      <c r="G61" s="76"/>
      <c r="H61" s="14"/>
      <c r="I61" s="10">
        <f>C61+D61-E61+F61-G61</f>
        <v>0</v>
      </c>
      <c r="J61" s="76">
        <v>0</v>
      </c>
      <c r="K61" s="122">
        <f t="shared" si="8"/>
        <v>0</v>
      </c>
      <c r="L61" s="15">
        <f t="shared" si="9"/>
        <v>0</v>
      </c>
      <c r="N61" s="75"/>
    </row>
    <row r="62" spans="1:14">
      <c r="A62" s="60">
        <v>191</v>
      </c>
      <c r="B62" s="54" t="s">
        <v>111</v>
      </c>
      <c r="C62" s="14">
        <v>9000</v>
      </c>
      <c r="D62" s="14"/>
      <c r="E62" s="14"/>
      <c r="F62" s="76"/>
      <c r="G62" s="76"/>
      <c r="H62" s="14"/>
      <c r="I62" s="10">
        <f t="shared" si="3"/>
        <v>9000</v>
      </c>
      <c r="J62" s="76">
        <v>0</v>
      </c>
      <c r="K62" s="122">
        <f t="shared" si="8"/>
        <v>9000</v>
      </c>
      <c r="L62" s="15">
        <f t="shared" si="9"/>
        <v>0</v>
      </c>
      <c r="N62" s="75"/>
    </row>
    <row r="63" spans="1:14">
      <c r="A63" s="60">
        <v>194</v>
      </c>
      <c r="B63" s="54" t="s">
        <v>112</v>
      </c>
      <c r="C63" s="14">
        <v>1080</v>
      </c>
      <c r="D63" s="14"/>
      <c r="E63" s="14"/>
      <c r="F63" s="76"/>
      <c r="G63" s="76"/>
      <c r="H63" s="14"/>
      <c r="I63" s="10">
        <f>C63+D63-E63+F63-G63</f>
        <v>1080</v>
      </c>
      <c r="J63" s="76">
        <v>55</v>
      </c>
      <c r="K63" s="122">
        <f t="shared" si="8"/>
        <v>1025</v>
      </c>
      <c r="L63" s="15">
        <f t="shared" si="9"/>
        <v>2.2127288555050237E-4</v>
      </c>
      <c r="N63" s="75"/>
    </row>
    <row r="64" spans="1:14">
      <c r="A64" s="60">
        <v>195</v>
      </c>
      <c r="B64" s="54" t="s">
        <v>37</v>
      </c>
      <c r="C64" s="14">
        <v>10000</v>
      </c>
      <c r="D64" s="14"/>
      <c r="E64" s="14"/>
      <c r="F64" s="76"/>
      <c r="G64" s="76"/>
      <c r="H64" s="14"/>
      <c r="I64" s="10">
        <f t="shared" si="3"/>
        <v>10000</v>
      </c>
      <c r="J64" s="76">
        <v>0</v>
      </c>
      <c r="K64" s="122">
        <f t="shared" si="8"/>
        <v>10000</v>
      </c>
      <c r="L64" s="15">
        <f t="shared" si="9"/>
        <v>0</v>
      </c>
      <c r="N64" s="75"/>
    </row>
    <row r="65" spans="1:14">
      <c r="A65" s="60">
        <v>196</v>
      </c>
      <c r="B65" s="54" t="s">
        <v>113</v>
      </c>
      <c r="C65" s="14">
        <v>31300</v>
      </c>
      <c r="D65" s="14"/>
      <c r="E65" s="14"/>
      <c r="F65" s="76"/>
      <c r="G65" s="76"/>
      <c r="H65" s="14"/>
      <c r="I65" s="10">
        <f>C65+D65-E65+F65-G65</f>
        <v>31300</v>
      </c>
      <c r="J65" s="76">
        <v>0</v>
      </c>
      <c r="K65" s="122">
        <f t="shared" si="8"/>
        <v>31300</v>
      </c>
      <c r="L65" s="15">
        <f t="shared" si="9"/>
        <v>0</v>
      </c>
      <c r="N65" s="75"/>
    </row>
    <row r="66" spans="1:14">
      <c r="A66" s="60">
        <v>199</v>
      </c>
      <c r="B66" s="54" t="s">
        <v>60</v>
      </c>
      <c r="C66" s="14">
        <v>26043.75</v>
      </c>
      <c r="D66" s="14"/>
      <c r="E66" s="14"/>
      <c r="F66" s="76"/>
      <c r="G66" s="76"/>
      <c r="H66" s="14"/>
      <c r="I66" s="10">
        <f t="shared" si="3"/>
        <v>26043.75</v>
      </c>
      <c r="J66" s="76">
        <v>15</v>
      </c>
      <c r="K66" s="122">
        <f t="shared" si="8"/>
        <v>26028.75</v>
      </c>
      <c r="L66" s="15">
        <f t="shared" ref="L66:L93" si="10">J66/$J$108</f>
        <v>6.0347150604682463E-5</v>
      </c>
      <c r="N66" s="75"/>
    </row>
    <row r="67" spans="1:14">
      <c r="A67" s="59">
        <v>2</v>
      </c>
      <c r="B67" s="59" t="s">
        <v>11</v>
      </c>
      <c r="C67" s="14"/>
      <c r="D67" s="14"/>
      <c r="E67" s="14"/>
      <c r="F67" s="76"/>
      <c r="G67" s="76"/>
      <c r="H67" s="14"/>
      <c r="I67" s="10"/>
      <c r="J67" s="105"/>
      <c r="K67" s="122"/>
      <c r="L67" s="15">
        <f t="shared" si="10"/>
        <v>0</v>
      </c>
      <c r="N67" s="75"/>
    </row>
    <row r="68" spans="1:14">
      <c r="A68" s="60">
        <v>211</v>
      </c>
      <c r="B68" s="54" t="s">
        <v>24</v>
      </c>
      <c r="C68" s="14">
        <v>66744.479999999996</v>
      </c>
      <c r="D68" s="14"/>
      <c r="E68" s="14"/>
      <c r="F68" s="76"/>
      <c r="G68" s="76"/>
      <c r="H68" s="14"/>
      <c r="I68" s="10">
        <f t="shared" si="3"/>
        <v>66744.479999999996</v>
      </c>
      <c r="J68" s="76">
        <v>1895</v>
      </c>
      <c r="K68" s="122">
        <f t="shared" si="8"/>
        <v>64849.479999999996</v>
      </c>
      <c r="L68" s="15">
        <f t="shared" si="10"/>
        <v>7.6238566930582176E-3</v>
      </c>
      <c r="N68" s="75"/>
    </row>
    <row r="69" spans="1:14">
      <c r="A69" s="60">
        <v>219</v>
      </c>
      <c r="B69" s="54" t="s">
        <v>25</v>
      </c>
      <c r="C69" s="14">
        <v>0</v>
      </c>
      <c r="D69" s="14"/>
      <c r="E69" s="14"/>
      <c r="F69" s="76"/>
      <c r="G69" s="76"/>
      <c r="H69" s="14"/>
      <c r="I69" s="10">
        <f t="shared" si="3"/>
        <v>0</v>
      </c>
      <c r="J69" s="76">
        <v>0</v>
      </c>
      <c r="K69" s="122">
        <f t="shared" si="8"/>
        <v>0</v>
      </c>
      <c r="L69" s="15">
        <f t="shared" si="10"/>
        <v>0</v>
      </c>
      <c r="N69" s="75"/>
    </row>
    <row r="70" spans="1:14">
      <c r="A70" s="60">
        <v>232</v>
      </c>
      <c r="B70" s="54" t="s">
        <v>62</v>
      </c>
      <c r="C70" s="14">
        <v>1140</v>
      </c>
      <c r="D70" s="14"/>
      <c r="E70" s="14"/>
      <c r="F70" s="76"/>
      <c r="G70" s="76"/>
      <c r="H70" s="14"/>
      <c r="I70" s="10">
        <f t="shared" si="3"/>
        <v>1140</v>
      </c>
      <c r="J70" s="76">
        <v>0</v>
      </c>
      <c r="K70" s="122">
        <f t="shared" si="8"/>
        <v>1140</v>
      </c>
      <c r="L70" s="15">
        <f t="shared" si="10"/>
        <v>0</v>
      </c>
      <c r="N70" s="75"/>
    </row>
    <row r="71" spans="1:14" s="5" customFormat="1">
      <c r="A71" s="60">
        <v>233</v>
      </c>
      <c r="B71" s="54" t="s">
        <v>75</v>
      </c>
      <c r="C71" s="76">
        <v>58000</v>
      </c>
      <c r="D71" s="76"/>
      <c r="E71" s="76"/>
      <c r="F71" s="76"/>
      <c r="G71" s="76"/>
      <c r="H71" s="76"/>
      <c r="I71" s="52">
        <f t="shared" si="3"/>
        <v>58000</v>
      </c>
      <c r="J71" s="76">
        <v>0</v>
      </c>
      <c r="K71" s="122">
        <f t="shared" si="8"/>
        <v>58000</v>
      </c>
      <c r="L71" s="132">
        <f t="shared" si="10"/>
        <v>0</v>
      </c>
      <c r="N71" s="75"/>
    </row>
    <row r="72" spans="1:14">
      <c r="A72" s="60">
        <v>241</v>
      </c>
      <c r="B72" s="54" t="s">
        <v>63</v>
      </c>
      <c r="C72" s="14">
        <v>3000</v>
      </c>
      <c r="D72" s="14"/>
      <c r="E72" s="14"/>
      <c r="F72" s="76"/>
      <c r="G72" s="76"/>
      <c r="H72" s="14"/>
      <c r="I72" s="10">
        <f t="shared" si="3"/>
        <v>3000</v>
      </c>
      <c r="J72" s="76">
        <v>259.7</v>
      </c>
      <c r="K72" s="122">
        <f t="shared" si="8"/>
        <v>2740.3</v>
      </c>
      <c r="L72" s="15">
        <f t="shared" si="10"/>
        <v>1.0448103341357355E-3</v>
      </c>
      <c r="N72" s="75"/>
    </row>
    <row r="73" spans="1:14">
      <c r="A73" s="60">
        <v>243</v>
      </c>
      <c r="B73" s="54" t="s">
        <v>48</v>
      </c>
      <c r="C73" s="14">
        <v>350</v>
      </c>
      <c r="D73" s="14"/>
      <c r="E73" s="14"/>
      <c r="F73" s="76"/>
      <c r="G73" s="76"/>
      <c r="H73" s="14"/>
      <c r="I73" s="10">
        <f t="shared" si="3"/>
        <v>350</v>
      </c>
      <c r="J73" s="76">
        <v>20</v>
      </c>
      <c r="K73" s="122">
        <f t="shared" si="8"/>
        <v>330</v>
      </c>
      <c r="L73" s="15">
        <f t="shared" si="10"/>
        <v>8.0462867472909955E-5</v>
      </c>
      <c r="N73" s="75"/>
    </row>
    <row r="74" spans="1:14">
      <c r="A74" s="60">
        <v>244</v>
      </c>
      <c r="B74" s="54" t="s">
        <v>49</v>
      </c>
      <c r="C74" s="14">
        <v>1000</v>
      </c>
      <c r="D74" s="14"/>
      <c r="E74" s="14"/>
      <c r="F74" s="76"/>
      <c r="G74" s="76"/>
      <c r="H74" s="14"/>
      <c r="I74" s="10">
        <f t="shared" si="3"/>
        <v>1000</v>
      </c>
      <c r="J74" s="76">
        <v>0</v>
      </c>
      <c r="K74" s="122">
        <f t="shared" si="8"/>
        <v>1000</v>
      </c>
      <c r="L74" s="15">
        <f t="shared" si="10"/>
        <v>0</v>
      </c>
      <c r="N74" s="75"/>
    </row>
    <row r="75" spans="1:14">
      <c r="A75" s="60">
        <v>245</v>
      </c>
      <c r="B75" s="54" t="s">
        <v>50</v>
      </c>
      <c r="C75" s="14">
        <v>1305</v>
      </c>
      <c r="D75" s="14"/>
      <c r="E75" s="14"/>
      <c r="F75" s="76"/>
      <c r="G75" s="76"/>
      <c r="H75" s="14"/>
      <c r="I75" s="10">
        <f t="shared" si="3"/>
        <v>1305</v>
      </c>
      <c r="J75" s="76">
        <v>0</v>
      </c>
      <c r="K75" s="122">
        <f t="shared" si="8"/>
        <v>1305</v>
      </c>
      <c r="L75" s="15">
        <f t="shared" si="10"/>
        <v>0</v>
      </c>
      <c r="N75" s="75"/>
    </row>
    <row r="76" spans="1:14">
      <c r="A76" s="60">
        <v>253</v>
      </c>
      <c r="B76" s="54" t="s">
        <v>41</v>
      </c>
      <c r="C76" s="14">
        <v>2500</v>
      </c>
      <c r="D76" s="14"/>
      <c r="E76" s="14"/>
      <c r="F76" s="76"/>
      <c r="G76" s="76"/>
      <c r="H76" s="14"/>
      <c r="I76" s="10">
        <f t="shared" si="3"/>
        <v>2500</v>
      </c>
      <c r="J76" s="76">
        <v>0</v>
      </c>
      <c r="K76" s="122">
        <f t="shared" si="8"/>
        <v>2500</v>
      </c>
      <c r="L76" s="15">
        <f t="shared" si="10"/>
        <v>0</v>
      </c>
      <c r="N76" s="75"/>
    </row>
    <row r="77" spans="1:14">
      <c r="A77" s="60">
        <v>254</v>
      </c>
      <c r="B77" s="54" t="s">
        <v>51</v>
      </c>
      <c r="C77" s="14">
        <v>200</v>
      </c>
      <c r="D77" s="14"/>
      <c r="E77" s="14"/>
      <c r="F77" s="76"/>
      <c r="G77" s="76"/>
      <c r="H77" s="14"/>
      <c r="I77" s="10">
        <f t="shared" si="3"/>
        <v>200</v>
      </c>
      <c r="J77" s="76">
        <v>0</v>
      </c>
      <c r="K77" s="122">
        <f t="shared" si="8"/>
        <v>200</v>
      </c>
      <c r="L77" s="15">
        <f t="shared" si="10"/>
        <v>0</v>
      </c>
      <c r="N77" s="75"/>
    </row>
    <row r="78" spans="1:14">
      <c r="A78" s="60">
        <v>262</v>
      </c>
      <c r="B78" s="54" t="s">
        <v>64</v>
      </c>
      <c r="C78" s="14">
        <v>9770</v>
      </c>
      <c r="D78" s="14"/>
      <c r="E78" s="14"/>
      <c r="F78" s="76"/>
      <c r="G78" s="76"/>
      <c r="H78" s="14"/>
      <c r="I78" s="10">
        <f t="shared" si="3"/>
        <v>9770</v>
      </c>
      <c r="J78" s="76">
        <v>486.42</v>
      </c>
      <c r="K78" s="122">
        <f t="shared" si="8"/>
        <v>9283.58</v>
      </c>
      <c r="L78" s="15">
        <f t="shared" si="10"/>
        <v>1.956937399808643E-3</v>
      </c>
      <c r="N78" s="75"/>
    </row>
    <row r="79" spans="1:14">
      <c r="A79" s="60">
        <v>266</v>
      </c>
      <c r="B79" s="54" t="s">
        <v>65</v>
      </c>
      <c r="C79" s="14">
        <v>600</v>
      </c>
      <c r="D79" s="14"/>
      <c r="E79" s="14"/>
      <c r="F79" s="76"/>
      <c r="G79" s="76"/>
      <c r="H79" s="14"/>
      <c r="I79" s="10">
        <f t="shared" si="3"/>
        <v>600</v>
      </c>
      <c r="J79" s="76">
        <v>0</v>
      </c>
      <c r="K79" s="122">
        <f t="shared" si="8"/>
        <v>600</v>
      </c>
      <c r="L79" s="15">
        <f t="shared" si="10"/>
        <v>0</v>
      </c>
      <c r="N79" s="75"/>
    </row>
    <row r="80" spans="1:14">
      <c r="A80" s="60">
        <v>267</v>
      </c>
      <c r="B80" s="54" t="s">
        <v>93</v>
      </c>
      <c r="C80" s="14">
        <v>15000</v>
      </c>
      <c r="D80" s="14"/>
      <c r="E80" s="14"/>
      <c r="F80" s="76"/>
      <c r="G80" s="76"/>
      <c r="H80" s="14"/>
      <c r="I80" s="10">
        <f t="shared" si="3"/>
        <v>15000</v>
      </c>
      <c r="J80" s="76">
        <v>1134</v>
      </c>
      <c r="K80" s="122">
        <f t="shared" si="8"/>
        <v>13866</v>
      </c>
      <c r="L80" s="15">
        <f t="shared" si="10"/>
        <v>4.5622445857139938E-3</v>
      </c>
      <c r="N80" s="75"/>
    </row>
    <row r="81" spans="1:14">
      <c r="A81" s="60">
        <v>268</v>
      </c>
      <c r="B81" s="54" t="s">
        <v>66</v>
      </c>
      <c r="C81" s="14">
        <v>1858</v>
      </c>
      <c r="D81" s="14"/>
      <c r="E81" s="14"/>
      <c r="F81" s="76"/>
      <c r="G81" s="76"/>
      <c r="H81" s="14"/>
      <c r="I81" s="10">
        <f t="shared" si="3"/>
        <v>1858</v>
      </c>
      <c r="J81" s="76">
        <v>0</v>
      </c>
      <c r="K81" s="122">
        <f t="shared" si="8"/>
        <v>1858</v>
      </c>
      <c r="L81" s="15">
        <f t="shared" si="10"/>
        <v>0</v>
      </c>
      <c r="N81" s="75"/>
    </row>
    <row r="82" spans="1:14">
      <c r="A82" s="60">
        <v>269</v>
      </c>
      <c r="B82" s="54" t="s">
        <v>67</v>
      </c>
      <c r="C82" s="14">
        <v>500</v>
      </c>
      <c r="D82" s="14"/>
      <c r="E82" s="14"/>
      <c r="F82" s="76"/>
      <c r="G82" s="76"/>
      <c r="H82" s="14"/>
      <c r="I82" s="10">
        <f t="shared" si="3"/>
        <v>500</v>
      </c>
      <c r="J82" s="76">
        <v>0</v>
      </c>
      <c r="K82" s="122">
        <f t="shared" si="8"/>
        <v>500</v>
      </c>
      <c r="L82" s="15">
        <f t="shared" si="10"/>
        <v>0</v>
      </c>
      <c r="N82" s="75"/>
    </row>
    <row r="83" spans="1:14">
      <c r="A83" s="60">
        <v>271</v>
      </c>
      <c r="B83" s="54" t="s">
        <v>68</v>
      </c>
      <c r="C83" s="14">
        <v>381250</v>
      </c>
      <c r="D83" s="14"/>
      <c r="E83" s="14"/>
      <c r="F83" s="99"/>
      <c r="G83" s="76"/>
      <c r="H83" s="14"/>
      <c r="I83" s="10">
        <f t="shared" si="3"/>
        <v>381250</v>
      </c>
      <c r="J83" s="76">
        <v>0</v>
      </c>
      <c r="K83" s="122">
        <f t="shared" si="8"/>
        <v>381250</v>
      </c>
      <c r="L83" s="15">
        <f t="shared" si="10"/>
        <v>0</v>
      </c>
      <c r="N83" s="75"/>
    </row>
    <row r="84" spans="1:14">
      <c r="A84" s="60">
        <v>283</v>
      </c>
      <c r="B84" s="54" t="s">
        <v>69</v>
      </c>
      <c r="C84" s="14">
        <v>1000</v>
      </c>
      <c r="D84" s="14"/>
      <c r="E84" s="14"/>
      <c r="F84" s="76"/>
      <c r="G84" s="76"/>
      <c r="H84" s="14"/>
      <c r="I84" s="10">
        <f t="shared" si="3"/>
        <v>1000</v>
      </c>
      <c r="J84" s="76">
        <v>0</v>
      </c>
      <c r="K84" s="122">
        <f t="shared" si="8"/>
        <v>1000</v>
      </c>
      <c r="L84" s="15">
        <f t="shared" si="10"/>
        <v>0</v>
      </c>
      <c r="N84" s="75"/>
    </row>
    <row r="85" spans="1:14">
      <c r="A85" s="60">
        <v>284</v>
      </c>
      <c r="B85" s="54" t="s">
        <v>52</v>
      </c>
      <c r="C85" s="14">
        <v>5000</v>
      </c>
      <c r="D85" s="14"/>
      <c r="E85" s="14"/>
      <c r="F85" s="76"/>
      <c r="G85" s="76"/>
      <c r="H85" s="14"/>
      <c r="I85" s="10">
        <f t="shared" si="3"/>
        <v>5000</v>
      </c>
      <c r="J85" s="76">
        <v>0</v>
      </c>
      <c r="K85" s="122">
        <f t="shared" si="8"/>
        <v>5000</v>
      </c>
      <c r="L85" s="15">
        <f t="shared" si="10"/>
        <v>0</v>
      </c>
      <c r="N85" s="75"/>
    </row>
    <row r="86" spans="1:14">
      <c r="A86" s="60">
        <v>285</v>
      </c>
      <c r="B86" s="54" t="s">
        <v>128</v>
      </c>
      <c r="C86" s="14">
        <v>1516915</v>
      </c>
      <c r="D86" s="14"/>
      <c r="E86" s="14"/>
      <c r="F86" s="76"/>
      <c r="G86" s="76"/>
      <c r="H86" s="14"/>
      <c r="I86" s="10">
        <f t="shared" si="3"/>
        <v>1516915</v>
      </c>
      <c r="J86" s="76">
        <v>0</v>
      </c>
      <c r="K86" s="122">
        <f t="shared" ref="K86:K93" si="11">I86-J86</f>
        <v>1516915</v>
      </c>
      <c r="L86" s="15">
        <f t="shared" si="10"/>
        <v>0</v>
      </c>
      <c r="N86" s="75"/>
    </row>
    <row r="87" spans="1:14">
      <c r="A87" s="60">
        <v>291</v>
      </c>
      <c r="B87" s="54" t="s">
        <v>70</v>
      </c>
      <c r="C87" s="14">
        <v>6500</v>
      </c>
      <c r="D87" s="14"/>
      <c r="E87" s="14"/>
      <c r="F87" s="76"/>
      <c r="G87" s="76"/>
      <c r="H87" s="14"/>
      <c r="I87" s="10">
        <f t="shared" si="3"/>
        <v>6500</v>
      </c>
      <c r="J87" s="76">
        <v>219.1</v>
      </c>
      <c r="K87" s="122">
        <f t="shared" si="11"/>
        <v>6280.9</v>
      </c>
      <c r="L87" s="15">
        <f t="shared" si="10"/>
        <v>8.8147071316572849E-4</v>
      </c>
      <c r="N87" s="75"/>
    </row>
    <row r="88" spans="1:14">
      <c r="A88" s="60">
        <v>292</v>
      </c>
      <c r="B88" s="54" t="s">
        <v>71</v>
      </c>
      <c r="C88" s="14">
        <v>1300</v>
      </c>
      <c r="D88" s="14"/>
      <c r="E88" s="14"/>
      <c r="F88" s="76"/>
      <c r="G88" s="76"/>
      <c r="H88" s="14"/>
      <c r="I88" s="10">
        <f t="shared" si="3"/>
        <v>1300</v>
      </c>
      <c r="J88" s="76">
        <v>69.150000000000006</v>
      </c>
      <c r="K88" s="122">
        <f t="shared" si="11"/>
        <v>1230.8499999999999</v>
      </c>
      <c r="L88" s="15">
        <f t="shared" si="10"/>
        <v>2.7820036428758619E-4</v>
      </c>
      <c r="N88" s="75"/>
    </row>
    <row r="89" spans="1:14">
      <c r="A89" s="60">
        <v>294</v>
      </c>
      <c r="B89" s="54" t="s">
        <v>72</v>
      </c>
      <c r="C89" s="14">
        <v>65000</v>
      </c>
      <c r="D89" s="13"/>
      <c r="E89" s="13"/>
      <c r="F89" s="98"/>
      <c r="G89" s="98"/>
      <c r="H89" s="13"/>
      <c r="I89" s="10">
        <f t="shared" si="3"/>
        <v>65000</v>
      </c>
      <c r="J89" s="76">
        <v>13393.95</v>
      </c>
      <c r="K89" s="122">
        <f t="shared" si="11"/>
        <v>51606.05</v>
      </c>
      <c r="L89" s="15">
        <f t="shared" si="10"/>
        <v>5.3885781189439111E-2</v>
      </c>
      <c r="N89" s="75"/>
    </row>
    <row r="90" spans="1:14">
      <c r="A90" s="60">
        <v>296</v>
      </c>
      <c r="B90" s="54" t="s">
        <v>114</v>
      </c>
      <c r="C90" s="14">
        <v>800</v>
      </c>
      <c r="D90" s="14"/>
      <c r="E90" s="14"/>
      <c r="F90" s="76"/>
      <c r="G90" s="76"/>
      <c r="H90" s="14"/>
      <c r="I90" s="10">
        <f>C90+D90-E90+F90-G90</f>
        <v>800</v>
      </c>
      <c r="J90" s="76">
        <v>0</v>
      </c>
      <c r="K90" s="122">
        <f t="shared" si="11"/>
        <v>800</v>
      </c>
      <c r="L90" s="15">
        <f t="shared" si="10"/>
        <v>0</v>
      </c>
      <c r="N90" s="75"/>
    </row>
    <row r="91" spans="1:14">
      <c r="A91" s="60">
        <v>297</v>
      </c>
      <c r="B91" s="54" t="s">
        <v>73</v>
      </c>
      <c r="C91" s="14">
        <v>800</v>
      </c>
      <c r="D91" s="14"/>
      <c r="E91" s="14"/>
      <c r="F91" s="76"/>
      <c r="G91" s="76"/>
      <c r="H91" s="14"/>
      <c r="I91" s="10">
        <f t="shared" si="3"/>
        <v>800</v>
      </c>
      <c r="J91" s="76">
        <v>0</v>
      </c>
      <c r="K91" s="122">
        <f t="shared" si="11"/>
        <v>800</v>
      </c>
      <c r="L91" s="15">
        <f t="shared" si="10"/>
        <v>0</v>
      </c>
      <c r="N91" s="75"/>
    </row>
    <row r="92" spans="1:14">
      <c r="A92" s="60">
        <v>298</v>
      </c>
      <c r="B92" s="54" t="s">
        <v>26</v>
      </c>
      <c r="C92" s="14">
        <v>20000</v>
      </c>
      <c r="D92" s="13"/>
      <c r="E92" s="13"/>
      <c r="F92" s="76"/>
      <c r="G92" s="76"/>
      <c r="H92" s="14"/>
      <c r="I92" s="10">
        <f t="shared" si="3"/>
        <v>20000</v>
      </c>
      <c r="J92" s="76">
        <v>0</v>
      </c>
      <c r="K92" s="122">
        <f t="shared" si="11"/>
        <v>20000</v>
      </c>
      <c r="L92" s="15">
        <f t="shared" si="10"/>
        <v>0</v>
      </c>
      <c r="N92" s="75"/>
    </row>
    <row r="93" spans="1:14">
      <c r="A93" s="60">
        <v>299</v>
      </c>
      <c r="B93" s="54" t="s">
        <v>74</v>
      </c>
      <c r="C93" s="14">
        <v>15000</v>
      </c>
      <c r="D93" s="13"/>
      <c r="E93" s="13"/>
      <c r="F93" s="98"/>
      <c r="G93" s="98"/>
      <c r="H93" s="13"/>
      <c r="I93" s="10">
        <f t="shared" si="3"/>
        <v>15000</v>
      </c>
      <c r="J93" s="76">
        <v>167.15</v>
      </c>
      <c r="K93" s="122">
        <f t="shared" si="11"/>
        <v>14832.85</v>
      </c>
      <c r="L93" s="15">
        <f t="shared" si="10"/>
        <v>6.7246841490484492E-4</v>
      </c>
      <c r="N93" s="75"/>
    </row>
    <row r="94" spans="1:14">
      <c r="A94" s="59">
        <v>3</v>
      </c>
      <c r="B94" s="59" t="s">
        <v>12</v>
      </c>
      <c r="C94" s="14"/>
      <c r="D94" s="14"/>
      <c r="E94" s="14"/>
      <c r="F94" s="76"/>
      <c r="G94" s="76"/>
      <c r="H94" s="14"/>
      <c r="I94" s="10"/>
      <c r="J94" s="105"/>
      <c r="K94" s="122"/>
      <c r="L94" s="15"/>
      <c r="N94" s="75"/>
    </row>
    <row r="95" spans="1:14">
      <c r="A95" s="60">
        <v>322</v>
      </c>
      <c r="B95" s="54" t="s">
        <v>88</v>
      </c>
      <c r="C95" s="14">
        <v>32000</v>
      </c>
      <c r="D95" s="14"/>
      <c r="E95" s="14"/>
      <c r="F95" s="76"/>
      <c r="G95" s="76"/>
      <c r="H95" s="14"/>
      <c r="I95" s="10">
        <f t="shared" si="3"/>
        <v>32000</v>
      </c>
      <c r="J95" s="76">
        <v>0</v>
      </c>
      <c r="K95" s="122">
        <f t="shared" ref="K95:K106" si="12">I95-J95</f>
        <v>32000</v>
      </c>
      <c r="L95" s="15">
        <f>J95/$J$108</f>
        <v>0</v>
      </c>
      <c r="N95" s="75"/>
    </row>
    <row r="96" spans="1:14">
      <c r="A96" s="60">
        <v>323</v>
      </c>
      <c r="B96" s="54" t="s">
        <v>140</v>
      </c>
      <c r="C96" s="14">
        <v>3000</v>
      </c>
      <c r="D96" s="14"/>
      <c r="E96" s="14"/>
      <c r="F96" s="76"/>
      <c r="G96" s="76"/>
      <c r="H96" s="14"/>
      <c r="I96" s="10">
        <f t="shared" si="3"/>
        <v>3000</v>
      </c>
      <c r="J96" s="76">
        <v>0</v>
      </c>
      <c r="K96" s="122">
        <f t="shared" si="12"/>
        <v>3000</v>
      </c>
      <c r="L96" s="15">
        <f>J96/$J$108</f>
        <v>0</v>
      </c>
      <c r="N96" s="75"/>
    </row>
    <row r="97" spans="1:14">
      <c r="A97" s="60">
        <v>324</v>
      </c>
      <c r="B97" s="54" t="s">
        <v>141</v>
      </c>
      <c r="C97" s="14">
        <v>116220</v>
      </c>
      <c r="D97" s="14"/>
      <c r="E97" s="14"/>
      <c r="F97" s="76"/>
      <c r="G97" s="76"/>
      <c r="H97" s="14"/>
      <c r="I97" s="10">
        <f t="shared" si="3"/>
        <v>116220</v>
      </c>
      <c r="J97" s="76">
        <v>0</v>
      </c>
      <c r="K97" s="122">
        <f t="shared" si="12"/>
        <v>116220</v>
      </c>
      <c r="L97" s="15">
        <f>J97/$J$108</f>
        <v>0</v>
      </c>
      <c r="N97" s="75"/>
    </row>
    <row r="98" spans="1:14">
      <c r="A98" s="60">
        <v>328</v>
      </c>
      <c r="B98" s="54" t="s">
        <v>89</v>
      </c>
      <c r="C98" s="14">
        <v>18000</v>
      </c>
      <c r="D98" s="14"/>
      <c r="E98" s="14"/>
      <c r="F98" s="76"/>
      <c r="G98" s="76"/>
      <c r="H98" s="14"/>
      <c r="I98" s="10">
        <f t="shared" si="3"/>
        <v>18000</v>
      </c>
      <c r="J98" s="76">
        <v>0</v>
      </c>
      <c r="K98" s="122">
        <f t="shared" si="12"/>
        <v>18000</v>
      </c>
      <c r="L98" s="15">
        <f>J98/$J$108</f>
        <v>0</v>
      </c>
      <c r="N98" s="75"/>
    </row>
    <row r="99" spans="1:14">
      <c r="A99" s="60">
        <v>329</v>
      </c>
      <c r="B99" s="54" t="s">
        <v>90</v>
      </c>
      <c r="C99" s="14">
        <v>8000</v>
      </c>
      <c r="D99" s="14"/>
      <c r="E99" s="14"/>
      <c r="F99" s="76"/>
      <c r="G99" s="76"/>
      <c r="H99" s="14"/>
      <c r="I99" s="10">
        <f t="shared" si="3"/>
        <v>8000</v>
      </c>
      <c r="J99" s="76">
        <v>0</v>
      </c>
      <c r="K99" s="122">
        <f t="shared" si="12"/>
        <v>8000</v>
      </c>
      <c r="L99" s="15">
        <f>J99/$J$108</f>
        <v>0</v>
      </c>
      <c r="N99" s="75"/>
    </row>
    <row r="100" spans="1:14">
      <c r="A100" s="59"/>
      <c r="B100" s="59"/>
      <c r="C100" s="14"/>
      <c r="D100" s="14"/>
      <c r="E100" s="14"/>
      <c r="F100" s="76"/>
      <c r="G100" s="76"/>
      <c r="H100" s="14"/>
      <c r="I100" s="10"/>
      <c r="J100" s="76"/>
      <c r="K100" s="122"/>
      <c r="L100" s="15"/>
      <c r="N100" s="75"/>
    </row>
    <row r="101" spans="1:14">
      <c r="A101" s="59">
        <v>4</v>
      </c>
      <c r="B101" s="59" t="s">
        <v>13</v>
      </c>
      <c r="C101" s="14"/>
      <c r="D101" s="14"/>
      <c r="E101" s="14"/>
      <c r="F101" s="76"/>
      <c r="G101" s="76"/>
      <c r="H101" s="14"/>
      <c r="I101" s="10"/>
      <c r="J101" s="76"/>
      <c r="K101" s="122"/>
      <c r="L101" s="15"/>
      <c r="N101" s="75"/>
    </row>
    <row r="102" spans="1:14">
      <c r="A102" s="61">
        <v>413</v>
      </c>
      <c r="B102" s="62" t="s">
        <v>77</v>
      </c>
      <c r="C102" s="14">
        <v>46000</v>
      </c>
      <c r="D102" s="14"/>
      <c r="E102" s="14"/>
      <c r="F102" s="76"/>
      <c r="G102" s="129"/>
      <c r="H102" s="17"/>
      <c r="I102" s="10">
        <f t="shared" ref="I102:I106" si="13">C102+D102-E102+F102-G102</f>
        <v>46000</v>
      </c>
      <c r="J102" s="76">
        <v>0</v>
      </c>
      <c r="K102" s="122">
        <f t="shared" si="12"/>
        <v>46000</v>
      </c>
      <c r="L102" s="15">
        <f>J102/$J$108</f>
        <v>0</v>
      </c>
      <c r="N102" s="75"/>
    </row>
    <row r="103" spans="1:14">
      <c r="A103" s="61">
        <v>415</v>
      </c>
      <c r="B103" s="62" t="s">
        <v>78</v>
      </c>
      <c r="C103" s="14">
        <v>30100</v>
      </c>
      <c r="D103" s="14"/>
      <c r="E103" s="14"/>
      <c r="F103" s="76"/>
      <c r="G103" s="129"/>
      <c r="H103" s="17"/>
      <c r="I103" s="10">
        <f t="shared" si="13"/>
        <v>30100</v>
      </c>
      <c r="J103" s="76">
        <v>0</v>
      </c>
      <c r="K103" s="122">
        <f t="shared" si="12"/>
        <v>30100</v>
      </c>
      <c r="L103" s="15">
        <f>J103/$J$108</f>
        <v>0</v>
      </c>
      <c r="N103" s="75"/>
    </row>
    <row r="104" spans="1:14">
      <c r="A104" s="61">
        <v>419</v>
      </c>
      <c r="B104" s="62" t="s">
        <v>79</v>
      </c>
      <c r="C104" s="14">
        <v>19200</v>
      </c>
      <c r="D104" s="14"/>
      <c r="E104" s="14"/>
      <c r="F104" s="129"/>
      <c r="G104" s="129"/>
      <c r="H104" s="17"/>
      <c r="I104" s="10">
        <f t="shared" si="13"/>
        <v>19200</v>
      </c>
      <c r="J104" s="76">
        <v>200</v>
      </c>
      <c r="K104" s="122">
        <f t="shared" si="12"/>
        <v>19000</v>
      </c>
      <c r="L104" s="15">
        <f>J104/$J$108</f>
        <v>8.0462867472909946E-4</v>
      </c>
      <c r="N104" s="75"/>
    </row>
    <row r="105" spans="1:14">
      <c r="A105" s="61">
        <v>453</v>
      </c>
      <c r="B105" s="62" t="s">
        <v>80</v>
      </c>
      <c r="C105" s="14">
        <v>120000</v>
      </c>
      <c r="D105" s="14"/>
      <c r="E105" s="14"/>
      <c r="F105" s="129"/>
      <c r="G105" s="129"/>
      <c r="H105" s="17"/>
      <c r="I105" s="10">
        <f>C105+D105-E105+F105-G105</f>
        <v>120000</v>
      </c>
      <c r="J105" s="76">
        <v>0</v>
      </c>
      <c r="K105" s="122">
        <f t="shared" si="12"/>
        <v>120000</v>
      </c>
      <c r="L105" s="15">
        <f>J105/$J$108</f>
        <v>0</v>
      </c>
      <c r="N105" s="75"/>
    </row>
    <row r="106" spans="1:14">
      <c r="A106" s="61">
        <v>472</v>
      </c>
      <c r="B106" s="62" t="s">
        <v>118</v>
      </c>
      <c r="C106" s="14">
        <v>4000</v>
      </c>
      <c r="D106" s="14"/>
      <c r="E106" s="14"/>
      <c r="F106" s="129"/>
      <c r="G106" s="129"/>
      <c r="H106" s="17"/>
      <c r="I106" s="10">
        <f t="shared" si="13"/>
        <v>4000</v>
      </c>
      <c r="J106" s="76">
        <v>0</v>
      </c>
      <c r="K106" s="122">
        <f t="shared" si="12"/>
        <v>4000</v>
      </c>
      <c r="L106" s="15">
        <f>J106/$J$108</f>
        <v>0</v>
      </c>
      <c r="N106" s="75"/>
    </row>
    <row r="107" spans="1:14" ht="20.25" customHeight="1" thickBot="1">
      <c r="A107" s="56"/>
      <c r="B107" s="57"/>
      <c r="C107" s="16"/>
      <c r="D107" s="14"/>
      <c r="E107" s="14"/>
      <c r="F107" s="101"/>
      <c r="G107" s="101"/>
      <c r="H107" s="58"/>
      <c r="I107" s="10"/>
      <c r="J107" s="101"/>
      <c r="K107" s="125"/>
      <c r="L107" s="15"/>
    </row>
    <row r="108" spans="1:14" ht="20.25" customHeight="1" thickBot="1">
      <c r="A108" s="49"/>
      <c r="B108" s="19" t="s">
        <v>7</v>
      </c>
      <c r="C108" s="11">
        <f>SUM(C20:C107)</f>
        <v>6176079.2063746657</v>
      </c>
      <c r="D108" s="11">
        <f>SUM(D20:D107)</f>
        <v>0</v>
      </c>
      <c r="E108" s="11">
        <f>SUM(E20:E107)</f>
        <v>0</v>
      </c>
      <c r="F108" s="11">
        <f t="shared" ref="F108:K108" si="14">SUM(F20:F107)</f>
        <v>0</v>
      </c>
      <c r="G108" s="11">
        <f t="shared" si="14"/>
        <v>0</v>
      </c>
      <c r="H108" s="11">
        <f t="shared" si="14"/>
        <v>0</v>
      </c>
      <c r="I108" s="11">
        <f t="shared" si="14"/>
        <v>6176079.2063746657</v>
      </c>
      <c r="J108" s="63">
        <f t="shared" si="14"/>
        <v>248561.86000000004</v>
      </c>
      <c r="K108" s="11">
        <f t="shared" si="14"/>
        <v>5927517.3463746654</v>
      </c>
      <c r="L108" s="50">
        <f>J108/J108</f>
        <v>1</v>
      </c>
      <c r="M108" s="5"/>
    </row>
    <row r="109" spans="1:14" ht="20.25" customHeight="1">
      <c r="A109" s="18"/>
      <c r="B109" s="36"/>
      <c r="C109" s="37"/>
      <c r="D109" s="37"/>
      <c r="E109" s="37"/>
      <c r="F109" s="37"/>
      <c r="G109" s="64"/>
      <c r="H109" s="37"/>
      <c r="I109" s="37"/>
      <c r="J109" s="64"/>
      <c r="K109" s="37"/>
      <c r="L109" s="39"/>
      <c r="M109" s="5"/>
    </row>
    <row r="110" spans="1:14" ht="20.25" customHeight="1" thickBot="1">
      <c r="A110" s="18"/>
      <c r="B110" s="36"/>
      <c r="C110" s="37"/>
      <c r="D110" s="37"/>
      <c r="E110" s="37"/>
      <c r="F110" s="37"/>
      <c r="G110" s="37"/>
      <c r="H110" s="37"/>
      <c r="I110" s="37"/>
      <c r="J110" s="64"/>
      <c r="K110" s="37"/>
      <c r="L110" s="39"/>
      <c r="M110" s="5"/>
    </row>
    <row r="111" spans="1:14" s="27" customFormat="1">
      <c r="A111" s="81" t="s">
        <v>8</v>
      </c>
      <c r="B111" s="81"/>
      <c r="C111" s="78"/>
      <c r="D111" s="25"/>
      <c r="E111" s="25"/>
      <c r="F111" s="96"/>
      <c r="G111" s="96"/>
      <c r="H111" s="30"/>
      <c r="I111" s="66"/>
      <c r="J111" s="32"/>
      <c r="K111" s="33"/>
      <c r="L111" s="26"/>
    </row>
    <row r="112" spans="1:14" s="27" customFormat="1">
      <c r="A112" s="84" t="s">
        <v>0</v>
      </c>
      <c r="B112" s="84"/>
      <c r="C112" s="80"/>
      <c r="D112" s="25"/>
      <c r="E112" s="25"/>
      <c r="F112" s="96"/>
      <c r="G112" s="96"/>
      <c r="H112" s="30"/>
      <c r="I112" s="66"/>
      <c r="J112" s="32"/>
      <c r="K112" s="33"/>
      <c r="L112" s="26"/>
    </row>
    <row r="113" spans="1:12" s="27" customFormat="1" ht="12" customHeight="1" thickBot="1">
      <c r="A113" s="84"/>
      <c r="B113" s="84"/>
      <c r="C113" s="80"/>
      <c r="D113" s="25"/>
      <c r="E113" s="25"/>
      <c r="F113" s="96"/>
      <c r="G113" s="96"/>
      <c r="H113" s="30"/>
      <c r="I113" s="66"/>
      <c r="J113" s="32"/>
      <c r="K113" s="33"/>
      <c r="L113" s="26"/>
    </row>
    <row r="114" spans="1:12" s="27" customFormat="1">
      <c r="A114" s="90" t="s">
        <v>121</v>
      </c>
      <c r="B114" s="85"/>
      <c r="C114" s="86"/>
      <c r="D114" s="25"/>
      <c r="E114" s="25"/>
      <c r="F114" s="96"/>
      <c r="G114" s="96"/>
      <c r="H114" s="30"/>
      <c r="I114" s="66"/>
      <c r="J114" s="32"/>
      <c r="K114" s="33"/>
      <c r="L114" s="26"/>
    </row>
    <row r="115" spans="1:12" s="27" customFormat="1">
      <c r="A115" s="91" t="s">
        <v>131</v>
      </c>
      <c r="B115" s="83"/>
      <c r="C115" s="106">
        <v>1077959.21</v>
      </c>
      <c r="D115" s="25"/>
      <c r="E115" s="134"/>
      <c r="F115" s="96"/>
      <c r="G115" s="96"/>
      <c r="H115" s="30"/>
      <c r="I115" s="66"/>
      <c r="J115" s="32"/>
      <c r="K115" s="33"/>
      <c r="L115" s="26"/>
    </row>
    <row r="116" spans="1:12" s="27" customFormat="1">
      <c r="A116" s="91" t="s">
        <v>81</v>
      </c>
      <c r="B116" s="83"/>
      <c r="C116" s="106">
        <f>J18</f>
        <v>322237.38999999996</v>
      </c>
      <c r="D116" s="25"/>
      <c r="E116" s="134"/>
      <c r="F116" s="135"/>
      <c r="G116" s="96"/>
      <c r="H116" s="30"/>
      <c r="I116" s="66"/>
      <c r="J116" s="32"/>
      <c r="K116" s="33"/>
      <c r="L116" s="26"/>
    </row>
    <row r="117" spans="1:12" s="27" customFormat="1">
      <c r="A117" s="91" t="s">
        <v>94</v>
      </c>
      <c r="B117" s="83"/>
      <c r="C117" s="107">
        <f>-J108</f>
        <v>-248561.86000000004</v>
      </c>
      <c r="D117" s="25"/>
      <c r="E117" s="134"/>
      <c r="F117" s="135"/>
      <c r="G117" s="96"/>
      <c r="H117" s="30"/>
      <c r="I117" s="66"/>
      <c r="J117" s="32"/>
      <c r="K117" s="33"/>
      <c r="L117" s="26"/>
    </row>
    <row r="118" spans="1:12" s="27" customFormat="1">
      <c r="A118" s="93" t="s">
        <v>120</v>
      </c>
      <c r="B118" s="83"/>
      <c r="C118" s="108">
        <f>SUM(C115:C117)</f>
        <v>1151634.7399999998</v>
      </c>
      <c r="D118" s="79"/>
      <c r="E118" s="134"/>
      <c r="F118" s="135"/>
      <c r="G118" s="96"/>
      <c r="H118" s="30"/>
      <c r="I118" s="66"/>
      <c r="J118" s="32"/>
      <c r="K118" s="33"/>
      <c r="L118" s="26"/>
    </row>
    <row r="119" spans="1:12" s="27" customFormat="1">
      <c r="A119" s="92" t="s">
        <v>122</v>
      </c>
      <c r="B119" s="82"/>
      <c r="C119" s="119"/>
      <c r="D119" s="25"/>
      <c r="E119" s="25"/>
      <c r="F119" s="130"/>
      <c r="G119" s="118"/>
      <c r="H119" s="30"/>
      <c r="I119" s="66"/>
      <c r="J119" s="32"/>
      <c r="K119" s="33"/>
      <c r="L119" s="26"/>
    </row>
    <row r="120" spans="1:12" s="27" customFormat="1">
      <c r="A120" s="91" t="s">
        <v>142</v>
      </c>
      <c r="B120" s="82"/>
      <c r="C120" s="119">
        <v>-101145.38</v>
      </c>
      <c r="D120" s="25"/>
      <c r="E120" s="25"/>
      <c r="F120" s="130"/>
      <c r="G120" s="118"/>
      <c r="H120" s="30"/>
      <c r="I120" s="66"/>
      <c r="J120" s="32"/>
      <c r="K120" s="33"/>
      <c r="L120" s="26"/>
    </row>
    <row r="121" spans="1:12" s="27" customFormat="1">
      <c r="A121" s="91" t="s">
        <v>143</v>
      </c>
      <c r="B121" s="83"/>
      <c r="C121" s="106">
        <v>-5000</v>
      </c>
      <c r="D121" s="25"/>
      <c r="E121" s="25"/>
      <c r="F121" s="131"/>
      <c r="G121" s="118"/>
      <c r="H121" s="30"/>
      <c r="I121" s="66"/>
      <c r="J121" s="32"/>
      <c r="K121" s="33"/>
      <c r="L121" s="26"/>
    </row>
    <row r="122" spans="1:12" s="27" customFormat="1">
      <c r="A122" s="91" t="s">
        <v>129</v>
      </c>
      <c r="B122" s="83"/>
      <c r="C122" s="106">
        <f>794.07</f>
        <v>794.07</v>
      </c>
      <c r="D122" s="25"/>
      <c r="E122" s="25"/>
      <c r="F122" s="117"/>
      <c r="G122" s="118"/>
      <c r="H122" s="30"/>
      <c r="I122" s="66"/>
      <c r="J122" s="32"/>
      <c r="K122" s="33"/>
      <c r="L122" s="26"/>
    </row>
    <row r="123" spans="1:12" s="27" customFormat="1">
      <c r="A123" s="91" t="s">
        <v>123</v>
      </c>
      <c r="B123" s="83"/>
      <c r="C123" s="106">
        <f>2034.91</f>
        <v>2034.91</v>
      </c>
      <c r="D123" s="25"/>
      <c r="E123" s="25"/>
      <c r="F123" s="131"/>
      <c r="G123" s="118"/>
      <c r="H123" s="30"/>
      <c r="I123" s="66"/>
      <c r="J123" s="32"/>
      <c r="K123" s="33"/>
      <c r="L123" s="26"/>
    </row>
    <row r="124" spans="1:12" s="35" customFormat="1" ht="6.95" customHeight="1">
      <c r="A124" s="91"/>
      <c r="B124" s="83"/>
      <c r="C124" s="109"/>
      <c r="D124" s="32"/>
      <c r="E124" s="95"/>
      <c r="F124" s="117"/>
      <c r="G124" s="118"/>
      <c r="H124" s="96"/>
      <c r="I124" s="42"/>
      <c r="J124" s="32"/>
      <c r="K124" s="33"/>
      <c r="L124" s="34"/>
    </row>
    <row r="125" spans="1:12" s="27" customFormat="1">
      <c r="A125" s="91"/>
      <c r="B125" s="83"/>
      <c r="C125" s="108">
        <f>SUM(C120:C124)</f>
        <v>-103316.4</v>
      </c>
      <c r="D125" s="25"/>
      <c r="E125" s="25"/>
      <c r="F125" s="117"/>
      <c r="G125" s="118"/>
      <c r="H125" s="30"/>
      <c r="I125" s="66"/>
      <c r="J125" s="32"/>
      <c r="K125" s="33"/>
      <c r="L125" s="26"/>
    </row>
    <row r="126" spans="1:12" s="27" customFormat="1" ht="6.95" customHeight="1">
      <c r="A126" s="91"/>
      <c r="B126" s="83"/>
      <c r="C126" s="107"/>
      <c r="D126" s="25"/>
      <c r="E126" s="25"/>
      <c r="F126" s="96"/>
      <c r="G126" s="96"/>
      <c r="H126" s="30"/>
      <c r="I126" s="66"/>
      <c r="J126" s="32"/>
      <c r="K126" s="33"/>
      <c r="L126" s="26"/>
    </row>
    <row r="127" spans="1:12" s="27" customFormat="1" ht="6.95" customHeight="1">
      <c r="A127" s="91"/>
      <c r="B127" s="83"/>
      <c r="C127" s="110"/>
      <c r="D127" s="25"/>
      <c r="E127" s="25"/>
      <c r="F127" s="96"/>
      <c r="G127" s="96"/>
      <c r="H127" s="30"/>
      <c r="I127" s="66"/>
      <c r="J127" s="32"/>
      <c r="K127" s="33"/>
      <c r="L127" s="26"/>
    </row>
    <row r="128" spans="1:12" s="27" customFormat="1" ht="18.75" thickBot="1">
      <c r="A128" s="93" t="s">
        <v>132</v>
      </c>
      <c r="B128" s="88"/>
      <c r="C128" s="111">
        <f>C118+C125</f>
        <v>1048318.3399999997</v>
      </c>
      <c r="D128" s="138"/>
      <c r="F128" s="96"/>
      <c r="G128" s="96"/>
      <c r="H128" s="30"/>
      <c r="I128" s="66"/>
      <c r="J128" s="32"/>
      <c r="K128" s="33"/>
      <c r="L128" s="26"/>
    </row>
    <row r="129" spans="1:13" s="27" customFormat="1" ht="6.95" customHeight="1" thickTop="1" thickBot="1">
      <c r="A129" s="94"/>
      <c r="B129" s="87"/>
      <c r="C129" s="112"/>
      <c r="D129" s="138"/>
      <c r="F129" s="96"/>
      <c r="G129" s="96"/>
      <c r="H129" s="30"/>
      <c r="I129" s="66"/>
      <c r="J129" s="32"/>
      <c r="K129" s="33"/>
      <c r="L129" s="26"/>
    </row>
    <row r="130" spans="1:13">
      <c r="A130" s="73"/>
      <c r="B130" s="73"/>
      <c r="C130" s="139">
        <f>1048318.34-C128</f>
        <v>0</v>
      </c>
      <c r="D130" s="138"/>
      <c r="F130" s="136"/>
      <c r="G130" s="102"/>
      <c r="H130" s="2"/>
      <c r="I130" s="2"/>
      <c r="J130" s="102"/>
      <c r="K130" s="102"/>
      <c r="L130" s="2"/>
    </row>
    <row r="131" spans="1:13">
      <c r="A131" s="73"/>
      <c r="B131" s="73"/>
      <c r="C131" s="120"/>
      <c r="D131" s="138"/>
      <c r="F131" s="102"/>
      <c r="G131" s="102"/>
      <c r="H131" s="2"/>
      <c r="I131" s="2"/>
      <c r="J131" s="102"/>
      <c r="K131" s="102"/>
      <c r="L131" s="2"/>
    </row>
    <row r="132" spans="1:13">
      <c r="A132" s="89"/>
      <c r="B132" s="137" t="s">
        <v>158</v>
      </c>
      <c r="C132" s="77"/>
      <c r="D132" s="138"/>
      <c r="E132" s="51"/>
      <c r="F132" s="102"/>
      <c r="G132" s="102"/>
      <c r="I132" s="2"/>
      <c r="J132" s="102"/>
      <c r="K132" s="102"/>
      <c r="L132" s="2"/>
    </row>
    <row r="133" spans="1:13">
      <c r="A133" s="89"/>
      <c r="B133" s="73"/>
      <c r="C133" s="121"/>
      <c r="D133" s="138"/>
      <c r="E133" s="2"/>
      <c r="F133" s="102"/>
      <c r="G133" s="102"/>
      <c r="H133" s="2"/>
      <c r="I133" s="2"/>
      <c r="J133" s="102"/>
      <c r="K133" s="102"/>
      <c r="L133" s="2"/>
    </row>
    <row r="134" spans="1:13">
      <c r="A134" s="89"/>
      <c r="B134" s="73"/>
      <c r="C134" s="121"/>
      <c r="D134" s="138"/>
      <c r="E134" s="2"/>
      <c r="F134" s="102"/>
      <c r="G134" s="102"/>
      <c r="H134" s="2"/>
      <c r="I134" s="2"/>
      <c r="J134" s="102"/>
      <c r="K134" s="102"/>
      <c r="L134" s="2"/>
    </row>
    <row r="135" spans="1:13">
      <c r="A135" s="89"/>
      <c r="B135" s="73"/>
      <c r="C135" s="75"/>
      <c r="D135" s="138"/>
      <c r="E135" s="2"/>
      <c r="F135" s="102"/>
      <c r="G135" s="102"/>
      <c r="H135" s="2"/>
      <c r="I135" s="2"/>
      <c r="J135" s="102"/>
      <c r="K135" s="102"/>
      <c r="L135" s="2"/>
    </row>
    <row r="136" spans="1:13">
      <c r="A136" s="89"/>
      <c r="B136" s="73"/>
      <c r="C136" s="75"/>
      <c r="E136" s="2"/>
      <c r="F136" s="102"/>
      <c r="G136" s="102"/>
      <c r="H136" s="2"/>
      <c r="I136" s="2"/>
      <c r="J136" s="102"/>
      <c r="K136" s="102"/>
      <c r="L136" s="2"/>
    </row>
    <row r="137" spans="1:13">
      <c r="A137" s="18"/>
      <c r="B137" s="73"/>
      <c r="C137" s="20"/>
      <c r="D137" s="66"/>
      <c r="E137" s="51"/>
      <c r="F137" s="95"/>
      <c r="G137" s="102"/>
      <c r="H137" s="2"/>
      <c r="I137" s="2"/>
      <c r="J137" s="102"/>
      <c r="K137" s="102"/>
      <c r="L137" s="2"/>
    </row>
    <row r="138" spans="1:13">
      <c r="A138" s="18"/>
      <c r="B138" s="2"/>
      <c r="C138" s="21"/>
      <c r="D138" s="2"/>
      <c r="E138" s="51"/>
      <c r="F138" s="95"/>
      <c r="G138" s="102"/>
      <c r="H138" s="2"/>
      <c r="I138" s="2"/>
      <c r="J138" s="102"/>
      <c r="K138" s="102"/>
      <c r="L138" s="2"/>
    </row>
    <row r="139" spans="1:13" ht="18.75">
      <c r="A139" s="18"/>
      <c r="B139" s="23" t="s">
        <v>91</v>
      </c>
      <c r="D139" s="24"/>
      <c r="E139" s="23"/>
      <c r="F139" s="103" t="s">
        <v>92</v>
      </c>
      <c r="G139" s="103"/>
      <c r="H139" s="23"/>
      <c r="I139" s="2"/>
      <c r="J139" s="103"/>
      <c r="K139" s="126"/>
      <c r="L139" s="23"/>
    </row>
    <row r="140" spans="1:13" ht="18.75">
      <c r="A140" s="18"/>
      <c r="B140" s="144" t="s">
        <v>148</v>
      </c>
      <c r="D140" s="24"/>
      <c r="E140" s="22"/>
      <c r="F140" s="145" t="s">
        <v>149</v>
      </c>
      <c r="G140" s="104"/>
      <c r="H140" s="22"/>
      <c r="I140" s="46" t="s">
        <v>28</v>
      </c>
      <c r="J140" s="104"/>
      <c r="K140" s="104"/>
      <c r="L140" s="22"/>
    </row>
    <row r="141" spans="1:13" ht="18.75">
      <c r="A141" s="18"/>
      <c r="B141" s="22"/>
      <c r="D141" s="24"/>
      <c r="E141" s="22"/>
      <c r="F141" s="104"/>
      <c r="G141" s="104"/>
      <c r="H141" s="22"/>
      <c r="I141" s="46"/>
      <c r="J141" s="104"/>
      <c r="K141" s="104"/>
      <c r="L141" s="22"/>
    </row>
    <row r="142" spans="1:13" ht="18.75">
      <c r="A142" s="18"/>
      <c r="B142" s="22"/>
      <c r="C142" s="75"/>
      <c r="D142" s="24"/>
      <c r="E142" s="22"/>
      <c r="F142" s="104"/>
      <c r="G142" s="104"/>
      <c r="H142" s="22"/>
      <c r="I142" s="46"/>
      <c r="J142" s="104"/>
      <c r="K142" s="104"/>
      <c r="L142" s="22"/>
    </row>
    <row r="143" spans="1:13">
      <c r="A143" s="31"/>
      <c r="B143" s="113"/>
      <c r="C143" s="114"/>
      <c r="D143" s="74"/>
      <c r="E143" s="74"/>
      <c r="F143" s="116"/>
      <c r="G143" s="116"/>
      <c r="H143" s="74"/>
      <c r="I143" s="74"/>
      <c r="J143" s="116"/>
      <c r="K143" s="33"/>
      <c r="L143" s="26"/>
      <c r="M143" s="27"/>
    </row>
    <row r="144" spans="1:13" s="5" customFormat="1">
      <c r="A144" s="29"/>
      <c r="B144" s="113"/>
      <c r="C144" s="114"/>
      <c r="D144" s="74"/>
      <c r="E144" s="74"/>
      <c r="F144" s="116"/>
      <c r="G144" s="116"/>
      <c r="H144" s="74"/>
      <c r="I144" s="74"/>
      <c r="J144" s="116"/>
      <c r="K144" s="33"/>
      <c r="L144" s="34"/>
      <c r="M144" s="35"/>
    </row>
    <row r="145" spans="1:13" s="5" customFormat="1">
      <c r="A145" s="36"/>
      <c r="B145" s="28"/>
      <c r="C145" s="115"/>
      <c r="D145" s="74"/>
      <c r="E145" s="74"/>
      <c r="F145" s="116"/>
      <c r="G145" s="116"/>
      <c r="H145" s="74"/>
      <c r="I145" s="74"/>
      <c r="J145" s="116"/>
      <c r="K145" s="38"/>
      <c r="L145" s="39"/>
      <c r="M145" s="35"/>
    </row>
    <row r="146" spans="1:13" s="5" customFormat="1">
      <c r="A146" s="36"/>
      <c r="B146" s="259"/>
      <c r="C146" s="259"/>
      <c r="D146" s="41"/>
      <c r="E146" s="40"/>
      <c r="F146" s="28"/>
      <c r="G146" s="28"/>
      <c r="H146" s="40"/>
      <c r="I146" s="40"/>
      <c r="J146" s="40"/>
      <c r="K146" s="40"/>
      <c r="L146" s="40"/>
      <c r="M146" s="35"/>
    </row>
    <row r="147" spans="1:13" s="5" customFormat="1">
      <c r="A147" s="36"/>
      <c r="B147" s="36"/>
      <c r="C147" s="28"/>
      <c r="D147" s="28"/>
      <c r="E147" s="42"/>
      <c r="F147" s="28"/>
      <c r="G147" s="28"/>
      <c r="H147" s="42"/>
      <c r="I147" s="42"/>
      <c r="J147" s="42"/>
      <c r="K147" s="42"/>
      <c r="L147" s="42"/>
      <c r="M147" s="35"/>
    </row>
    <row r="148" spans="1:13" s="5" customFormat="1">
      <c r="A148" s="36"/>
      <c r="B148" s="43"/>
      <c r="C148" s="42"/>
      <c r="D148" s="28"/>
      <c r="E148" s="28"/>
      <c r="F148" s="28"/>
      <c r="G148" s="28"/>
      <c r="H148" s="28"/>
      <c r="I148" s="28"/>
      <c r="J148" s="28"/>
      <c r="K148" s="28"/>
      <c r="L148" s="28"/>
      <c r="M148" s="35"/>
    </row>
    <row r="149" spans="1:13" s="5" customFormat="1">
      <c r="A149" s="36"/>
      <c r="B149" s="43"/>
      <c r="C149" s="42"/>
      <c r="D149" s="28"/>
      <c r="E149" s="28"/>
      <c r="F149" s="28"/>
      <c r="G149" s="28"/>
      <c r="H149" s="28"/>
      <c r="I149" s="28"/>
      <c r="J149" s="28"/>
      <c r="K149" s="28"/>
      <c r="L149" s="44"/>
      <c r="M149" s="35"/>
    </row>
    <row r="150" spans="1:13" s="5" customFormat="1">
      <c r="A150" s="36"/>
      <c r="B150" s="43"/>
      <c r="C150" s="42"/>
      <c r="D150" s="28"/>
      <c r="E150" s="28"/>
      <c r="F150" s="28"/>
      <c r="G150" s="28"/>
      <c r="H150" s="28"/>
      <c r="I150" s="28"/>
      <c r="J150" s="28"/>
      <c r="K150" s="28"/>
      <c r="L150" s="28"/>
      <c r="M150" s="35"/>
    </row>
    <row r="151" spans="1:13" s="5" customFormat="1">
      <c r="A151" s="36"/>
      <c r="B151" s="43"/>
      <c r="C151" s="45"/>
      <c r="D151" s="28"/>
      <c r="E151" s="28"/>
      <c r="F151" s="28"/>
      <c r="G151" s="28"/>
      <c r="H151" s="28"/>
      <c r="I151" s="28"/>
      <c r="J151" s="28"/>
      <c r="K151" s="28"/>
      <c r="L151" s="28"/>
      <c r="M151" s="35"/>
    </row>
    <row r="152" spans="1:13" s="5" customFormat="1">
      <c r="A152" s="36"/>
      <c r="B152" s="43"/>
      <c r="C152" s="45"/>
      <c r="D152" s="28"/>
      <c r="E152" s="28"/>
      <c r="F152" s="35"/>
      <c r="G152" s="35"/>
      <c r="H152" s="28"/>
      <c r="I152" s="28"/>
      <c r="J152" s="28"/>
      <c r="K152" s="28"/>
      <c r="L152" s="28"/>
      <c r="M152" s="35"/>
    </row>
    <row r="153" spans="1:13" s="5" customFormat="1">
      <c r="A153" s="36"/>
      <c r="B153" s="35"/>
      <c r="C153" s="35"/>
      <c r="D153" s="28"/>
      <c r="E153" s="28"/>
      <c r="F153" s="35"/>
      <c r="G153" s="35"/>
      <c r="H153" s="28"/>
      <c r="I153" s="28"/>
      <c r="J153" s="28"/>
      <c r="K153" s="28"/>
      <c r="L153" s="28"/>
      <c r="M153" s="35"/>
    </row>
    <row r="154" spans="1:13" s="5" customFormat="1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1:13" s="5" customFormat="1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1:13" s="5" customFormat="1">
      <c r="A156" s="35"/>
      <c r="B156" s="35"/>
      <c r="C156" s="35"/>
      <c r="D156" s="35"/>
      <c r="E156" s="35"/>
      <c r="H156" s="35"/>
      <c r="I156" s="35"/>
      <c r="J156" s="35"/>
      <c r="K156" s="35"/>
      <c r="L156" s="35"/>
      <c r="M156" s="35"/>
    </row>
    <row r="157" spans="1:13" s="5" customFormat="1">
      <c r="A157" s="35"/>
      <c r="B157" s="1"/>
      <c r="C157" s="1"/>
      <c r="D157" s="35"/>
      <c r="E157" s="35"/>
      <c r="H157" s="35"/>
      <c r="I157" s="35"/>
      <c r="J157" s="35"/>
      <c r="K157" s="35"/>
      <c r="L157" s="35"/>
      <c r="M157" s="35"/>
    </row>
  </sheetData>
  <mergeCells count="6">
    <mergeCell ref="J6:J7"/>
    <mergeCell ref="B146:C146"/>
    <mergeCell ref="A6:A7"/>
    <mergeCell ref="B6:B7"/>
    <mergeCell ref="D6:E6"/>
    <mergeCell ref="F6:G6"/>
  </mergeCells>
  <printOptions horizontalCentered="1"/>
  <pageMargins left="0.39370078740157483" right="0.39370078740157483" top="0.78740157480314965" bottom="0.78740157480314965" header="0.31496062992125984" footer="0.31496062992125984"/>
  <pageSetup scale="55" orientation="landscape" horizontalDpi="4294967293" vertic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2"/>
  <sheetViews>
    <sheetView showGridLines="0" zoomScale="75" zoomScaleNormal="75" workbookViewId="0">
      <selection activeCell="F6" sqref="F6:G6"/>
    </sheetView>
  </sheetViews>
  <sheetFormatPr baseColWidth="10" defaultColWidth="11.42578125" defaultRowHeight="18"/>
  <cols>
    <col min="1" max="1" width="10.7109375" style="5" customWidth="1"/>
    <col min="2" max="2" width="64.7109375" style="5" customWidth="1"/>
    <col min="3" max="3" width="19.28515625" style="233" customWidth="1"/>
    <col min="4" max="9" width="16.42578125" style="5" customWidth="1"/>
    <col min="10" max="10" width="19.28515625" style="5" customWidth="1"/>
    <col min="11" max="11" width="19.28515625" style="253" customWidth="1"/>
    <col min="12" max="12" width="19.28515625" style="5" customWidth="1"/>
    <col min="13" max="13" width="12.7109375" style="5" customWidth="1"/>
    <col min="14" max="14" width="7" style="5" customWidth="1"/>
    <col min="15" max="15" width="19.5703125" style="5" bestFit="1" customWidth="1"/>
    <col min="16" max="16" width="15.42578125" style="5" bestFit="1" customWidth="1"/>
    <col min="17" max="16384" width="11.42578125" style="5"/>
  </cols>
  <sheetData>
    <row r="1" spans="1:15">
      <c r="A1" s="97" t="s">
        <v>39</v>
      </c>
      <c r="B1" s="97"/>
      <c r="C1" s="224"/>
      <c r="D1" s="97"/>
      <c r="E1" s="97"/>
      <c r="F1" s="97"/>
      <c r="G1" s="97"/>
      <c r="H1" s="97"/>
      <c r="I1" s="97"/>
      <c r="J1" s="97"/>
      <c r="K1" s="243"/>
      <c r="L1" s="97"/>
      <c r="M1" s="97"/>
    </row>
    <row r="2" spans="1:15">
      <c r="A2" s="97" t="s">
        <v>119</v>
      </c>
      <c r="B2" s="97"/>
      <c r="C2" s="224"/>
      <c r="D2" s="97"/>
      <c r="E2" s="97"/>
      <c r="F2" s="97"/>
      <c r="G2" s="97"/>
      <c r="H2" s="97"/>
      <c r="I2" s="97"/>
      <c r="J2" s="97"/>
      <c r="K2" s="243"/>
      <c r="L2" s="97"/>
      <c r="M2" s="97"/>
    </row>
    <row r="3" spans="1:15">
      <c r="A3" s="97" t="s">
        <v>182</v>
      </c>
      <c r="B3" s="97"/>
      <c r="C3" s="224"/>
      <c r="D3" s="97"/>
      <c r="E3" s="97"/>
      <c r="F3" s="97"/>
      <c r="G3" s="97"/>
      <c r="H3" s="97"/>
      <c r="I3" s="97"/>
      <c r="J3" s="97"/>
      <c r="K3" s="243"/>
      <c r="L3" s="97"/>
      <c r="M3" s="97"/>
    </row>
    <row r="4" spans="1:15" ht="17.850000000000001" customHeight="1">
      <c r="A4" s="97" t="s">
        <v>0</v>
      </c>
      <c r="B4" s="97"/>
      <c r="C4" s="224"/>
      <c r="D4" s="97"/>
      <c r="E4" s="97"/>
      <c r="F4" s="97"/>
      <c r="G4" s="97"/>
      <c r="H4" s="97"/>
      <c r="I4" s="97"/>
      <c r="J4" s="97"/>
      <c r="K4" s="243"/>
      <c r="L4" s="97"/>
      <c r="M4" s="97"/>
    </row>
    <row r="5" spans="1:15" ht="17.850000000000001" customHeight="1" thickBot="1">
      <c r="A5" s="97"/>
      <c r="B5" s="97"/>
      <c r="C5" s="224"/>
      <c r="D5" s="97"/>
      <c r="E5" s="97"/>
      <c r="F5" s="97"/>
      <c r="G5" s="97"/>
      <c r="H5" s="97"/>
      <c r="I5" s="97"/>
      <c r="J5" s="97"/>
      <c r="K5" s="243"/>
      <c r="L5" s="97"/>
      <c r="M5" s="97"/>
    </row>
    <row r="6" spans="1:15" ht="18.75" thickBot="1">
      <c r="A6" s="260" t="s">
        <v>5</v>
      </c>
      <c r="B6" s="262" t="s">
        <v>40</v>
      </c>
      <c r="C6" s="225" t="s">
        <v>1</v>
      </c>
      <c r="D6" s="256" t="s">
        <v>171</v>
      </c>
      <c r="E6" s="256"/>
      <c r="F6" s="256" t="s">
        <v>191</v>
      </c>
      <c r="G6" s="256"/>
      <c r="H6" s="256" t="s">
        <v>192</v>
      </c>
      <c r="I6" s="256"/>
      <c r="J6" s="3" t="s">
        <v>1</v>
      </c>
      <c r="K6" s="267" t="s">
        <v>2</v>
      </c>
      <c r="L6" s="4" t="s">
        <v>29</v>
      </c>
      <c r="M6" s="3" t="s">
        <v>31</v>
      </c>
    </row>
    <row r="7" spans="1:15" ht="18.75" thickBot="1">
      <c r="A7" s="261"/>
      <c r="B7" s="263"/>
      <c r="C7" s="226" t="s">
        <v>3</v>
      </c>
      <c r="D7" s="7" t="s">
        <v>145</v>
      </c>
      <c r="E7" s="7" t="s">
        <v>146</v>
      </c>
      <c r="F7" s="7" t="s">
        <v>145</v>
      </c>
      <c r="G7" s="7" t="s">
        <v>146</v>
      </c>
      <c r="H7" s="7" t="s">
        <v>145</v>
      </c>
      <c r="I7" s="7" t="s">
        <v>146</v>
      </c>
      <c r="J7" s="6" t="s">
        <v>4</v>
      </c>
      <c r="K7" s="268"/>
      <c r="L7" s="8" t="s">
        <v>30</v>
      </c>
      <c r="M7" s="9" t="s">
        <v>32</v>
      </c>
    </row>
    <row r="8" spans="1:15">
      <c r="A8" s="69"/>
      <c r="B8" s="71" t="s">
        <v>116</v>
      </c>
      <c r="C8" s="99"/>
      <c r="D8" s="98"/>
      <c r="E8" s="98"/>
      <c r="F8" s="98"/>
      <c r="G8" s="98"/>
      <c r="H8" s="98"/>
      <c r="I8" s="98"/>
      <c r="J8" s="98"/>
      <c r="K8" s="244"/>
      <c r="L8" s="203"/>
      <c r="M8" s="98"/>
    </row>
    <row r="9" spans="1:15">
      <c r="A9" s="222"/>
      <c r="B9" s="223"/>
      <c r="C9" s="99"/>
      <c r="D9" s="98"/>
      <c r="E9" s="98"/>
      <c r="F9" s="98"/>
      <c r="G9" s="98"/>
      <c r="H9" s="98"/>
      <c r="I9" s="98"/>
      <c r="J9" s="98"/>
      <c r="K9" s="244"/>
      <c r="L9" s="203"/>
      <c r="M9" s="98"/>
    </row>
    <row r="10" spans="1:15">
      <c r="A10" s="60"/>
      <c r="B10" s="70" t="s">
        <v>117</v>
      </c>
      <c r="C10" s="227">
        <v>1077959.21</v>
      </c>
      <c r="D10" s="54"/>
      <c r="E10" s="52"/>
      <c r="F10" s="54"/>
      <c r="G10" s="54"/>
      <c r="H10" s="54"/>
      <c r="I10" s="54"/>
      <c r="J10" s="76">
        <f t="shared" ref="J10:J18" si="0">C10+D10-E10+F10-G10+H10-I10</f>
        <v>1077959.21</v>
      </c>
      <c r="K10" s="245"/>
      <c r="L10" s="203">
        <f t="shared" ref="L10:L17" si="1">J10-K10+I10</f>
        <v>1077959.21</v>
      </c>
      <c r="M10" s="146">
        <f>K10/K19</f>
        <v>0</v>
      </c>
    </row>
    <row r="11" spans="1:15">
      <c r="A11" s="60" t="s">
        <v>27</v>
      </c>
      <c r="B11" s="54" t="s">
        <v>54</v>
      </c>
      <c r="C11" s="227">
        <f>12500+60000+1000</f>
        <v>73500</v>
      </c>
      <c r="D11" s="52"/>
      <c r="E11" s="52"/>
      <c r="F11" s="52"/>
      <c r="G11" s="52"/>
      <c r="H11" s="52"/>
      <c r="I11" s="52"/>
      <c r="J11" s="76">
        <f t="shared" si="0"/>
        <v>73500</v>
      </c>
      <c r="K11" s="245">
        <f>74597+2295+20427+2295+16154+14527</f>
        <v>130295</v>
      </c>
      <c r="L11" s="189">
        <f t="shared" si="1"/>
        <v>-56795</v>
      </c>
      <c r="M11" s="146">
        <f>K11/K19</f>
        <v>3.2033028081443871E-2</v>
      </c>
      <c r="O11" s="147"/>
    </row>
    <row r="12" spans="1:15">
      <c r="A12" s="148" t="s">
        <v>95</v>
      </c>
      <c r="B12" s="54" t="s">
        <v>96</v>
      </c>
      <c r="C12" s="227">
        <v>4000</v>
      </c>
      <c r="D12" s="52"/>
      <c r="E12" s="52"/>
      <c r="F12" s="52"/>
      <c r="G12" s="52"/>
      <c r="H12" s="52"/>
      <c r="I12" s="52"/>
      <c r="J12" s="76">
        <f t="shared" si="0"/>
        <v>4000</v>
      </c>
      <c r="K12" s="245">
        <f>1854.82+78.84+68.4+42.84</f>
        <v>2044.8999999999999</v>
      </c>
      <c r="L12" s="189">
        <f t="shared" si="1"/>
        <v>1955.1000000000001</v>
      </c>
      <c r="M12" s="146">
        <f>K12/K19</f>
        <v>5.0273870159057955E-4</v>
      </c>
      <c r="O12" s="147"/>
    </row>
    <row r="13" spans="1:15">
      <c r="A13" s="60" t="s">
        <v>97</v>
      </c>
      <c r="B13" s="54" t="s">
        <v>133</v>
      </c>
      <c r="C13" s="227">
        <v>3172620</v>
      </c>
      <c r="D13" s="52"/>
      <c r="E13" s="52"/>
      <c r="F13" s="52"/>
      <c r="G13" s="52"/>
      <c r="H13" s="52"/>
      <c r="I13" s="52"/>
      <c r="J13" s="76">
        <f t="shared" si="0"/>
        <v>3172620</v>
      </c>
      <c r="K13" s="245">
        <f>1049646.93+201855.31+0.02+321134.75+74623.9+159039.16+14030</f>
        <v>1820330.0699999998</v>
      </c>
      <c r="L13" s="189">
        <f t="shared" si="1"/>
        <v>1352289.9300000002</v>
      </c>
      <c r="M13" s="146">
        <f>K13/K19</f>
        <v>0.44752818028171976</v>
      </c>
      <c r="O13" s="149"/>
    </row>
    <row r="14" spans="1:15">
      <c r="A14" s="60" t="s">
        <v>97</v>
      </c>
      <c r="B14" s="54" t="s">
        <v>134</v>
      </c>
      <c r="C14" s="227">
        <v>1828000</v>
      </c>
      <c r="D14" s="52"/>
      <c r="E14" s="52"/>
      <c r="F14" s="202"/>
      <c r="G14" s="52"/>
      <c r="H14" s="52"/>
      <c r="I14" s="52"/>
      <c r="J14" s="76">
        <f t="shared" si="0"/>
        <v>1828000</v>
      </c>
      <c r="K14" s="245">
        <f>1537761.06+326014.9+109987.16+73961.54+67125.92</f>
        <v>2114850.58</v>
      </c>
      <c r="L14" s="189">
        <f t="shared" si="1"/>
        <v>-286850.58000000007</v>
      </c>
      <c r="M14" s="146">
        <f>K14/K19</f>
        <v>0.51993605293524581</v>
      </c>
    </row>
    <row r="15" spans="1:15">
      <c r="A15" s="60" t="s">
        <v>97</v>
      </c>
      <c r="B15" s="54" t="s">
        <v>99</v>
      </c>
      <c r="C15" s="227">
        <v>20000</v>
      </c>
      <c r="D15" s="52"/>
      <c r="E15" s="52"/>
      <c r="F15" s="52"/>
      <c r="G15" s="52"/>
      <c r="H15" s="52"/>
      <c r="I15" s="52"/>
      <c r="J15" s="76">
        <f t="shared" si="0"/>
        <v>20000</v>
      </c>
      <c r="K15" s="245">
        <v>0</v>
      </c>
      <c r="L15" s="203">
        <f>J15-K15+I15</f>
        <v>20000</v>
      </c>
      <c r="M15" s="146">
        <v>0</v>
      </c>
    </row>
    <row r="16" spans="1:15">
      <c r="A16" s="60" t="s">
        <v>97</v>
      </c>
      <c r="B16" s="54" t="s">
        <v>144</v>
      </c>
      <c r="C16" s="227">
        <v>0</v>
      </c>
      <c r="D16" s="52"/>
      <c r="E16" s="52"/>
      <c r="F16" s="52"/>
      <c r="G16" s="52"/>
      <c r="H16" s="52"/>
      <c r="I16" s="52"/>
      <c r="J16" s="76">
        <f t="shared" si="0"/>
        <v>0</v>
      </c>
      <c r="K16" s="245">
        <v>0</v>
      </c>
      <c r="L16" s="203">
        <f t="shared" si="1"/>
        <v>0</v>
      </c>
      <c r="M16" s="146">
        <v>0</v>
      </c>
    </row>
    <row r="17" spans="1:15">
      <c r="A17" s="60" t="s">
        <v>97</v>
      </c>
      <c r="B17" s="54" t="s">
        <v>98</v>
      </c>
      <c r="C17" s="227">
        <v>0</v>
      </c>
      <c r="D17" s="52"/>
      <c r="E17" s="52"/>
      <c r="F17" s="52"/>
      <c r="G17" s="52"/>
      <c r="H17" s="52"/>
      <c r="I17" s="52"/>
      <c r="J17" s="76">
        <f t="shared" si="0"/>
        <v>0</v>
      </c>
      <c r="K17" s="245">
        <v>0</v>
      </c>
      <c r="L17" s="203">
        <f t="shared" si="1"/>
        <v>0</v>
      </c>
      <c r="M17" s="146">
        <v>0</v>
      </c>
    </row>
    <row r="18" spans="1:15" ht="18.75" thickBot="1">
      <c r="A18" s="150"/>
      <c r="B18" s="151"/>
      <c r="C18" s="228">
        <v>0</v>
      </c>
      <c r="D18" s="128"/>
      <c r="E18" s="128"/>
      <c r="F18" s="128"/>
      <c r="G18" s="128"/>
      <c r="H18" s="128"/>
      <c r="I18" s="128"/>
      <c r="J18" s="76">
        <f t="shared" si="0"/>
        <v>0</v>
      </c>
      <c r="K18" s="245">
        <v>0</v>
      </c>
      <c r="L18" s="204">
        <f>-K18+I18</f>
        <v>0</v>
      </c>
      <c r="M18" s="152">
        <f>K18/K19</f>
        <v>0</v>
      </c>
      <c r="O18" s="42"/>
    </row>
    <row r="19" spans="1:15" ht="18.75" customHeight="1" thickBot="1">
      <c r="A19" s="68"/>
      <c r="B19" s="67" t="s">
        <v>6</v>
      </c>
      <c r="C19" s="63">
        <f t="shared" ref="C19:J19" si="2">SUM(C10:C18)</f>
        <v>6176079.21</v>
      </c>
      <c r="D19" s="63">
        <f t="shared" si="2"/>
        <v>0</v>
      </c>
      <c r="E19" s="63">
        <f t="shared" si="2"/>
        <v>0</v>
      </c>
      <c r="F19" s="63">
        <f t="shared" si="2"/>
        <v>0</v>
      </c>
      <c r="G19" s="63">
        <f t="shared" si="2"/>
        <v>0</v>
      </c>
      <c r="H19" s="63"/>
      <c r="I19" s="63">
        <f t="shared" si="2"/>
        <v>0</v>
      </c>
      <c r="J19" s="11">
        <f t="shared" si="2"/>
        <v>6176079.21</v>
      </c>
      <c r="K19" s="246">
        <f>ROUND((SUM(K10:K18)),2)</f>
        <v>4067520.55</v>
      </c>
      <c r="L19" s="11">
        <f>SUM(L10:L18)</f>
        <v>2108558.66</v>
      </c>
      <c r="M19" s="12">
        <f>SUM(M18:M18)</f>
        <v>0</v>
      </c>
    </row>
    <row r="20" spans="1:15">
      <c r="A20" s="141"/>
      <c r="B20" s="142"/>
      <c r="C20" s="229"/>
      <c r="D20" s="157"/>
      <c r="E20" s="98"/>
      <c r="F20" s="98"/>
      <c r="G20" s="98"/>
      <c r="H20" s="98"/>
      <c r="I20" s="98"/>
      <c r="J20" s="98"/>
      <c r="K20" s="247"/>
      <c r="L20" s="98"/>
      <c r="M20" s="98"/>
    </row>
    <row r="21" spans="1:15">
      <c r="A21" s="222" t="s">
        <v>5</v>
      </c>
      <c r="B21" s="223" t="s">
        <v>115</v>
      </c>
      <c r="C21" s="99"/>
      <c r="D21" s="98"/>
      <c r="E21" s="98"/>
      <c r="F21" s="98"/>
      <c r="G21" s="98"/>
      <c r="H21" s="98"/>
      <c r="I21" s="98"/>
      <c r="J21" s="98"/>
      <c r="K21" s="247"/>
      <c r="L21" s="98"/>
      <c r="M21" s="98"/>
    </row>
    <row r="22" spans="1:15">
      <c r="A22" s="222"/>
      <c r="B22" s="223"/>
      <c r="C22" s="99"/>
      <c r="D22" s="98"/>
      <c r="E22" s="98"/>
      <c r="F22" s="98"/>
      <c r="G22" s="98"/>
      <c r="H22" s="98"/>
      <c r="I22" s="98"/>
      <c r="J22" s="98"/>
      <c r="K22" s="247"/>
      <c r="L22" s="98"/>
      <c r="M22" s="98"/>
    </row>
    <row r="23" spans="1:15">
      <c r="A23" s="59">
        <v>0</v>
      </c>
      <c r="B23" s="59" t="s">
        <v>9</v>
      </c>
      <c r="C23" s="99"/>
      <c r="D23" s="76"/>
      <c r="E23" s="76"/>
      <c r="F23" s="76"/>
      <c r="G23" s="76"/>
      <c r="H23" s="76"/>
      <c r="I23" s="76"/>
      <c r="J23" s="76"/>
      <c r="K23" s="244"/>
      <c r="L23" s="122"/>
      <c r="M23" s="132"/>
    </row>
    <row r="24" spans="1:15">
      <c r="A24" s="53" t="s">
        <v>14</v>
      </c>
      <c r="B24" s="54" t="s">
        <v>84</v>
      </c>
      <c r="C24" s="99">
        <v>574724</v>
      </c>
      <c r="D24" s="76"/>
      <c r="E24" s="76"/>
      <c r="F24" s="76"/>
      <c r="G24" s="76"/>
      <c r="H24" s="76"/>
      <c r="I24" s="76"/>
      <c r="J24" s="76">
        <f t="shared" ref="J24:J70" si="3">C24+D24-E24+F24-G24+H24-I24</f>
        <v>574724</v>
      </c>
      <c r="K24" s="244">
        <v>412061.82999999996</v>
      </c>
      <c r="L24" s="122">
        <f>J24-K24</f>
        <v>162662.17000000004</v>
      </c>
      <c r="M24" s="132">
        <f t="shared" ref="M24:M35" si="4">K24/$K$114</f>
        <v>8.6290214590514003E-2</v>
      </c>
      <c r="O24" s="149"/>
    </row>
    <row r="25" spans="1:15">
      <c r="A25" s="53" t="s">
        <v>34</v>
      </c>
      <c r="B25" s="54" t="s">
        <v>35</v>
      </c>
      <c r="C25" s="99">
        <v>4500</v>
      </c>
      <c r="D25" s="76"/>
      <c r="E25" s="76"/>
      <c r="F25" s="76"/>
      <c r="G25" s="76"/>
      <c r="H25" s="76"/>
      <c r="I25" s="76"/>
      <c r="J25" s="76">
        <f t="shared" si="3"/>
        <v>4500</v>
      </c>
      <c r="K25" s="244">
        <v>3750</v>
      </c>
      <c r="L25" s="122">
        <f t="shared" ref="L25:L88" si="5">J25-K25</f>
        <v>750</v>
      </c>
      <c r="M25" s="132">
        <f t="shared" si="4"/>
        <v>7.8529065580868656E-4</v>
      </c>
      <c r="O25" s="149"/>
    </row>
    <row r="26" spans="1:15">
      <c r="A26" s="53" t="s">
        <v>15</v>
      </c>
      <c r="B26" s="54" t="s">
        <v>43</v>
      </c>
      <c r="C26" s="99">
        <v>62500</v>
      </c>
      <c r="D26" s="76">
        <v>36000</v>
      </c>
      <c r="E26" s="76"/>
      <c r="F26" s="76"/>
      <c r="G26" s="76"/>
      <c r="H26" s="76"/>
      <c r="I26" s="76"/>
      <c r="J26" s="76">
        <f t="shared" si="3"/>
        <v>98500</v>
      </c>
      <c r="K26" s="244">
        <v>64116.67</v>
      </c>
      <c r="L26" s="122">
        <f t="shared" si="5"/>
        <v>34383.33</v>
      </c>
      <c r="M26" s="132">
        <f t="shared" si="4"/>
        <v>1.3426725822018436E-2</v>
      </c>
      <c r="O26" s="149"/>
    </row>
    <row r="27" spans="1:15">
      <c r="A27" s="53" t="s">
        <v>135</v>
      </c>
      <c r="B27" s="54" t="s">
        <v>136</v>
      </c>
      <c r="C27" s="99">
        <v>357550</v>
      </c>
      <c r="D27" s="76"/>
      <c r="E27" s="76">
        <v>357550</v>
      </c>
      <c r="F27" s="76"/>
      <c r="G27" s="76"/>
      <c r="H27" s="76"/>
      <c r="I27" s="76"/>
      <c r="J27" s="76">
        <f t="shared" si="3"/>
        <v>0</v>
      </c>
      <c r="K27" s="244">
        <v>0</v>
      </c>
      <c r="L27" s="122">
        <f t="shared" si="5"/>
        <v>0</v>
      </c>
      <c r="M27" s="132">
        <f t="shared" si="4"/>
        <v>0</v>
      </c>
      <c r="O27" s="149"/>
    </row>
    <row r="28" spans="1:15">
      <c r="A28" s="53" t="s">
        <v>137</v>
      </c>
      <c r="B28" s="54" t="s">
        <v>138</v>
      </c>
      <c r="C28" s="99">
        <v>5750</v>
      </c>
      <c r="D28" s="76"/>
      <c r="E28" s="76"/>
      <c r="F28" s="76"/>
      <c r="G28" s="76"/>
      <c r="H28" s="76"/>
      <c r="I28" s="76"/>
      <c r="J28" s="76">
        <f t="shared" si="3"/>
        <v>5750</v>
      </c>
      <c r="K28" s="244">
        <v>0</v>
      </c>
      <c r="L28" s="122">
        <f t="shared" si="5"/>
        <v>5750</v>
      </c>
      <c r="M28" s="132">
        <f t="shared" si="4"/>
        <v>0</v>
      </c>
      <c r="O28" s="149"/>
    </row>
    <row r="29" spans="1:15">
      <c r="A29" s="53" t="s">
        <v>100</v>
      </c>
      <c r="B29" s="54" t="s">
        <v>101</v>
      </c>
      <c r="C29" s="99">
        <v>15400</v>
      </c>
      <c r="D29" s="76"/>
      <c r="E29" s="76"/>
      <c r="F29" s="76"/>
      <c r="G29" s="76"/>
      <c r="H29" s="76"/>
      <c r="I29" s="76"/>
      <c r="J29" s="76">
        <f t="shared" si="3"/>
        <v>15400</v>
      </c>
      <c r="K29" s="244">
        <v>7947.37</v>
      </c>
      <c r="L29" s="122">
        <f t="shared" si="5"/>
        <v>7452.63</v>
      </c>
      <c r="M29" s="132">
        <f t="shared" si="4"/>
        <v>1.6642654398011417E-3</v>
      </c>
      <c r="O29" s="149"/>
    </row>
    <row r="30" spans="1:15">
      <c r="A30" s="53" t="s">
        <v>21</v>
      </c>
      <c r="B30" s="54" t="s">
        <v>22</v>
      </c>
      <c r="C30" s="99">
        <v>37627.240000000005</v>
      </c>
      <c r="D30" s="76"/>
      <c r="E30" s="76"/>
      <c r="F30" s="76"/>
      <c r="G30" s="76"/>
      <c r="H30" s="76"/>
      <c r="I30" s="76"/>
      <c r="J30" s="76">
        <f t="shared" si="3"/>
        <v>37627.240000000005</v>
      </c>
      <c r="K30" s="244">
        <v>21984.980000000003</v>
      </c>
      <c r="L30" s="122">
        <f t="shared" si="5"/>
        <v>15642.260000000002</v>
      </c>
      <c r="M30" s="132">
        <f t="shared" si="4"/>
        <v>4.6038931632375628E-3</v>
      </c>
      <c r="O30" s="149"/>
    </row>
    <row r="31" spans="1:15">
      <c r="A31" s="53" t="s">
        <v>16</v>
      </c>
      <c r="B31" s="54" t="s">
        <v>125</v>
      </c>
      <c r="C31" s="99">
        <v>111250.887308</v>
      </c>
      <c r="D31" s="76"/>
      <c r="E31" s="76"/>
      <c r="F31" s="76"/>
      <c r="G31" s="76"/>
      <c r="H31" s="76"/>
      <c r="I31" s="76"/>
      <c r="J31" s="76">
        <f t="shared" si="3"/>
        <v>111250.887308</v>
      </c>
      <c r="K31" s="244">
        <v>41550.29</v>
      </c>
      <c r="L31" s="122">
        <f t="shared" si="5"/>
        <v>69700.597307999997</v>
      </c>
      <c r="M31" s="132">
        <f t="shared" si="4"/>
        <v>8.7010811955042962E-3</v>
      </c>
      <c r="O31" s="149"/>
    </row>
    <row r="32" spans="1:15">
      <c r="A32" s="53" t="s">
        <v>17</v>
      </c>
      <c r="B32" s="54" t="s">
        <v>126</v>
      </c>
      <c r="C32" s="99">
        <v>10426.5124</v>
      </c>
      <c r="D32" s="76"/>
      <c r="E32" s="76"/>
      <c r="F32" s="76"/>
      <c r="G32" s="76"/>
      <c r="H32" s="76"/>
      <c r="I32" s="76"/>
      <c r="J32" s="76">
        <f t="shared" si="3"/>
        <v>10426.5124</v>
      </c>
      <c r="K32" s="244">
        <v>3894.1299999999997</v>
      </c>
      <c r="L32" s="122">
        <f t="shared" si="5"/>
        <v>6532.3824000000004</v>
      </c>
      <c r="M32" s="132">
        <f t="shared" si="4"/>
        <v>8.1547304040114146E-4</v>
      </c>
      <c r="O32" s="149"/>
    </row>
    <row r="33" spans="1:15">
      <c r="A33" s="53" t="s">
        <v>18</v>
      </c>
      <c r="B33" s="55" t="s">
        <v>82</v>
      </c>
      <c r="C33" s="99">
        <v>78272.833333333328</v>
      </c>
      <c r="D33" s="76"/>
      <c r="E33" s="76"/>
      <c r="F33" s="76"/>
      <c r="G33" s="76"/>
      <c r="H33" s="76"/>
      <c r="I33" s="76"/>
      <c r="J33" s="76">
        <f t="shared" si="3"/>
        <v>78272.833333333328</v>
      </c>
      <c r="K33" s="244">
        <v>0</v>
      </c>
      <c r="L33" s="122">
        <f t="shared" si="5"/>
        <v>78272.833333333328</v>
      </c>
      <c r="M33" s="132">
        <f t="shared" si="4"/>
        <v>0</v>
      </c>
      <c r="O33" s="149"/>
    </row>
    <row r="34" spans="1:15">
      <c r="A34" s="53" t="s">
        <v>19</v>
      </c>
      <c r="B34" s="54" t="s">
        <v>85</v>
      </c>
      <c r="C34" s="99">
        <v>78272.833333333328</v>
      </c>
      <c r="D34" s="76"/>
      <c r="E34" s="76"/>
      <c r="F34" s="76"/>
      <c r="G34" s="76"/>
      <c r="H34" s="76"/>
      <c r="I34" s="76"/>
      <c r="J34" s="76">
        <f t="shared" si="3"/>
        <v>78272.833333333328</v>
      </c>
      <c r="K34" s="244">
        <v>41431.490000000005</v>
      </c>
      <c r="L34" s="122">
        <f t="shared" si="5"/>
        <v>36841.343333333323</v>
      </c>
      <c r="M34" s="132">
        <f t="shared" si="4"/>
        <v>8.676203187528278E-3</v>
      </c>
      <c r="O34" s="149"/>
    </row>
    <row r="35" spans="1:15">
      <c r="A35" s="53" t="s">
        <v>20</v>
      </c>
      <c r="B35" s="54" t="s">
        <v>83</v>
      </c>
      <c r="C35" s="99">
        <v>4800</v>
      </c>
      <c r="D35" s="76"/>
      <c r="E35" s="76"/>
      <c r="F35" s="76"/>
      <c r="G35" s="76"/>
      <c r="H35" s="76"/>
      <c r="I35" s="76"/>
      <c r="J35" s="76">
        <f t="shared" si="3"/>
        <v>4800</v>
      </c>
      <c r="K35" s="244">
        <v>0</v>
      </c>
      <c r="L35" s="122">
        <f t="shared" si="5"/>
        <v>4800</v>
      </c>
      <c r="M35" s="132">
        <f t="shared" si="4"/>
        <v>0</v>
      </c>
      <c r="O35" s="149"/>
    </row>
    <row r="36" spans="1:15">
      <c r="A36" s="53"/>
      <c r="B36" s="54"/>
      <c r="C36" s="99"/>
      <c r="D36" s="76"/>
      <c r="E36" s="76"/>
      <c r="F36" s="76"/>
      <c r="G36" s="76"/>
      <c r="H36" s="76"/>
      <c r="I36" s="76"/>
      <c r="J36" s="76"/>
      <c r="K36" s="244"/>
      <c r="L36" s="122"/>
      <c r="M36" s="132"/>
      <c r="O36" s="149"/>
    </row>
    <row r="37" spans="1:15">
      <c r="A37" s="59">
        <v>1</v>
      </c>
      <c r="B37" s="59" t="s">
        <v>10</v>
      </c>
      <c r="C37" s="99"/>
      <c r="D37" s="76"/>
      <c r="E37" s="76"/>
      <c r="F37" s="76"/>
      <c r="G37" s="76"/>
      <c r="H37" s="76"/>
      <c r="I37" s="76"/>
      <c r="J37" s="76"/>
      <c r="K37" s="248"/>
      <c r="L37" s="122"/>
      <c r="M37" s="132"/>
      <c r="O37" s="149"/>
    </row>
    <row r="38" spans="1:15">
      <c r="A38" s="60">
        <v>111</v>
      </c>
      <c r="B38" s="54" t="s">
        <v>44</v>
      </c>
      <c r="C38" s="99">
        <v>13125</v>
      </c>
      <c r="D38" s="76"/>
      <c r="E38" s="76"/>
      <c r="F38" s="76"/>
      <c r="G38" s="76"/>
      <c r="H38" s="76"/>
      <c r="I38" s="76"/>
      <c r="J38" s="76">
        <f t="shared" si="3"/>
        <v>13125</v>
      </c>
      <c r="K38" s="244">
        <v>7043.6200000000008</v>
      </c>
      <c r="L38" s="122">
        <f t="shared" si="5"/>
        <v>6081.3799999999992</v>
      </c>
      <c r="M38" s="132">
        <f t="shared" ref="M38:M70" si="6">K38/$K$114</f>
        <v>1.4750103917512485E-3</v>
      </c>
      <c r="O38" s="149"/>
    </row>
    <row r="39" spans="1:15">
      <c r="A39" s="60">
        <v>113</v>
      </c>
      <c r="B39" s="54" t="s">
        <v>53</v>
      </c>
      <c r="C39" s="99">
        <v>24780</v>
      </c>
      <c r="D39" s="76"/>
      <c r="E39" s="76"/>
      <c r="F39" s="76"/>
      <c r="G39" s="76"/>
      <c r="H39" s="76"/>
      <c r="I39" s="76"/>
      <c r="J39" s="76">
        <f t="shared" si="3"/>
        <v>24780</v>
      </c>
      <c r="K39" s="244">
        <v>18309</v>
      </c>
      <c r="L39" s="122">
        <f t="shared" si="5"/>
        <v>6471</v>
      </c>
      <c r="M39" s="132">
        <f t="shared" si="6"/>
        <v>3.8341030979203313E-3</v>
      </c>
      <c r="O39" s="149"/>
    </row>
    <row r="40" spans="1:15">
      <c r="A40" s="60">
        <v>114</v>
      </c>
      <c r="B40" s="54" t="s">
        <v>124</v>
      </c>
      <c r="C40" s="99">
        <v>5000</v>
      </c>
      <c r="D40" s="76"/>
      <c r="E40" s="76"/>
      <c r="F40" s="76"/>
      <c r="G40" s="76"/>
      <c r="H40" s="76"/>
      <c r="I40" s="76"/>
      <c r="J40" s="76">
        <f t="shared" si="3"/>
        <v>5000</v>
      </c>
      <c r="K40" s="244">
        <v>557</v>
      </c>
      <c r="L40" s="122">
        <f t="shared" si="5"/>
        <v>4443</v>
      </c>
      <c r="M40" s="132">
        <f t="shared" si="6"/>
        <v>1.1664183874278358E-4</v>
      </c>
      <c r="O40" s="149"/>
    </row>
    <row r="41" spans="1:15">
      <c r="A41" s="60">
        <v>121</v>
      </c>
      <c r="B41" s="54" t="s">
        <v>55</v>
      </c>
      <c r="C41" s="99">
        <v>20000</v>
      </c>
      <c r="D41" s="76">
        <v>30000</v>
      </c>
      <c r="E41" s="76"/>
      <c r="F41" s="76"/>
      <c r="G41" s="76"/>
      <c r="H41" s="76"/>
      <c r="I41" s="76"/>
      <c r="J41" s="76">
        <f t="shared" si="3"/>
        <v>50000</v>
      </c>
      <c r="K41" s="244">
        <v>23304</v>
      </c>
      <c r="L41" s="122">
        <f t="shared" si="5"/>
        <v>26696</v>
      </c>
      <c r="M41" s="132">
        <f t="shared" si="6"/>
        <v>4.8801102514575015E-3</v>
      </c>
      <c r="O41" s="149"/>
    </row>
    <row r="42" spans="1:15">
      <c r="A42" s="60">
        <v>122</v>
      </c>
      <c r="B42" s="54" t="s">
        <v>86</v>
      </c>
      <c r="C42" s="99">
        <v>17950</v>
      </c>
      <c r="D42" s="76">
        <v>10000</v>
      </c>
      <c r="E42" s="76"/>
      <c r="F42" s="76"/>
      <c r="G42" s="76"/>
      <c r="H42" s="76"/>
      <c r="I42" s="76"/>
      <c r="J42" s="76">
        <f t="shared" si="3"/>
        <v>27950</v>
      </c>
      <c r="K42" s="244">
        <v>25081</v>
      </c>
      <c r="L42" s="122">
        <f t="shared" si="5"/>
        <v>2869</v>
      </c>
      <c r="M42" s="132">
        <f t="shared" si="6"/>
        <v>5.2522333168900448E-3</v>
      </c>
      <c r="N42" s="159"/>
      <c r="O42" s="149"/>
    </row>
    <row r="43" spans="1:15">
      <c r="A43" s="60">
        <v>131</v>
      </c>
      <c r="B43" s="54" t="s">
        <v>56</v>
      </c>
      <c r="C43" s="99">
        <v>1102000</v>
      </c>
      <c r="D43" s="76">
        <v>375000</v>
      </c>
      <c r="E43" s="76"/>
      <c r="F43" s="76">
        <v>365000</v>
      </c>
      <c r="G43" s="76"/>
      <c r="H43" s="76"/>
      <c r="I43" s="76"/>
      <c r="J43" s="76">
        <f t="shared" si="3"/>
        <v>1842000</v>
      </c>
      <c r="K43" s="244">
        <v>1819660.21</v>
      </c>
      <c r="L43" s="122">
        <f t="shared" si="5"/>
        <v>22339.790000000037</v>
      </c>
      <c r="M43" s="132">
        <f t="shared" si="6"/>
        <v>0.38105657590929931</v>
      </c>
      <c r="O43" s="149"/>
    </row>
    <row r="44" spans="1:15">
      <c r="A44" s="60">
        <v>133</v>
      </c>
      <c r="B44" s="54" t="s">
        <v>57</v>
      </c>
      <c r="C44" s="99">
        <v>4546.67</v>
      </c>
      <c r="D44" s="76"/>
      <c r="E44" s="76"/>
      <c r="F44" s="76"/>
      <c r="G44" s="76"/>
      <c r="H44" s="76"/>
      <c r="I44" s="76"/>
      <c r="J44" s="76">
        <f t="shared" si="3"/>
        <v>4546.67</v>
      </c>
      <c r="K44" s="244">
        <v>0</v>
      </c>
      <c r="L44" s="122">
        <f t="shared" si="5"/>
        <v>4546.67</v>
      </c>
      <c r="M44" s="132">
        <f t="shared" si="6"/>
        <v>0</v>
      </c>
      <c r="O44" s="149"/>
    </row>
    <row r="45" spans="1:15">
      <c r="A45" s="60">
        <v>134</v>
      </c>
      <c r="B45" s="54" t="s">
        <v>87</v>
      </c>
      <c r="C45" s="99">
        <v>0</v>
      </c>
      <c r="D45" s="76"/>
      <c r="E45" s="76"/>
      <c r="F45" s="76"/>
      <c r="G45" s="76"/>
      <c r="H45" s="76"/>
      <c r="I45" s="76"/>
      <c r="J45" s="76">
        <f t="shared" si="3"/>
        <v>0</v>
      </c>
      <c r="K45" s="244">
        <v>0</v>
      </c>
      <c r="L45" s="122">
        <f t="shared" si="5"/>
        <v>0</v>
      </c>
      <c r="M45" s="132">
        <f t="shared" si="6"/>
        <v>0</v>
      </c>
      <c r="O45" s="149"/>
    </row>
    <row r="46" spans="1:15">
      <c r="A46" s="60">
        <v>135</v>
      </c>
      <c r="B46" s="54" t="s">
        <v>102</v>
      </c>
      <c r="C46" s="99">
        <v>124000</v>
      </c>
      <c r="D46" s="76"/>
      <c r="E46" s="76"/>
      <c r="F46" s="76">
        <v>70000</v>
      </c>
      <c r="G46" s="76"/>
      <c r="H46" s="76"/>
      <c r="I46" s="76"/>
      <c r="J46" s="76">
        <f t="shared" si="3"/>
        <v>194000</v>
      </c>
      <c r="K46" s="244">
        <v>142758.63000000003</v>
      </c>
      <c r="L46" s="122">
        <f t="shared" si="5"/>
        <v>51241.369999999966</v>
      </c>
      <c r="M46" s="132">
        <f t="shared" si="6"/>
        <v>2.9895204846679912E-2</v>
      </c>
      <c r="O46" s="149"/>
    </row>
    <row r="47" spans="1:15">
      <c r="A47" s="60">
        <v>141</v>
      </c>
      <c r="B47" s="54" t="s">
        <v>76</v>
      </c>
      <c r="C47" s="99">
        <v>374045.69</v>
      </c>
      <c r="D47" s="76">
        <v>77000</v>
      </c>
      <c r="E47" s="76"/>
      <c r="F47" s="76">
        <v>223000</v>
      </c>
      <c r="G47" s="76"/>
      <c r="H47" s="76"/>
      <c r="I47" s="76">
        <v>45250</v>
      </c>
      <c r="J47" s="76">
        <f t="shared" si="3"/>
        <v>628795.68999999994</v>
      </c>
      <c r="K47" s="244">
        <v>500373.26000000007</v>
      </c>
      <c r="L47" s="122">
        <f t="shared" si="5"/>
        <v>128422.42999999988</v>
      </c>
      <c r="M47" s="132">
        <f t="shared" si="6"/>
        <v>0.10478358546520813</v>
      </c>
      <c r="O47" s="149"/>
    </row>
    <row r="48" spans="1:15">
      <c r="A48" s="60">
        <v>142</v>
      </c>
      <c r="B48" s="54" t="s">
        <v>23</v>
      </c>
      <c r="C48" s="99">
        <v>32600</v>
      </c>
      <c r="D48" s="76"/>
      <c r="E48" s="76"/>
      <c r="F48" s="76"/>
      <c r="G48" s="76"/>
      <c r="H48" s="76"/>
      <c r="I48" s="76">
        <v>20000</v>
      </c>
      <c r="J48" s="76">
        <f t="shared" si="3"/>
        <v>12600</v>
      </c>
      <c r="K48" s="244">
        <v>0</v>
      </c>
      <c r="L48" s="122">
        <f t="shared" si="5"/>
        <v>12600</v>
      </c>
      <c r="M48" s="132">
        <f t="shared" si="6"/>
        <v>0</v>
      </c>
      <c r="O48" s="149"/>
    </row>
    <row r="49" spans="1:15">
      <c r="A49" s="60">
        <v>143</v>
      </c>
      <c r="B49" s="54" t="s">
        <v>127</v>
      </c>
      <c r="C49" s="99">
        <v>37071.31</v>
      </c>
      <c r="D49" s="76"/>
      <c r="E49" s="76"/>
      <c r="F49" s="76"/>
      <c r="G49" s="76"/>
      <c r="H49" s="76">
        <v>12000</v>
      </c>
      <c r="I49" s="76"/>
      <c r="J49" s="76">
        <f t="shared" si="3"/>
        <v>49071.31</v>
      </c>
      <c r="K49" s="244">
        <v>36462.980000000003</v>
      </c>
      <c r="L49" s="122">
        <f t="shared" si="5"/>
        <v>12608.329999999994</v>
      </c>
      <c r="M49" s="132">
        <f t="shared" si="6"/>
        <v>7.6357433271837397E-3</v>
      </c>
      <c r="O49" s="149"/>
    </row>
    <row r="50" spans="1:15">
      <c r="A50" s="60">
        <v>151</v>
      </c>
      <c r="B50" s="54" t="s">
        <v>139</v>
      </c>
      <c r="C50" s="99">
        <v>70560</v>
      </c>
      <c r="D50" s="76"/>
      <c r="E50" s="76"/>
      <c r="F50" s="76"/>
      <c r="G50" s="76"/>
      <c r="H50" s="76"/>
      <c r="I50" s="76"/>
      <c r="J50" s="76">
        <f t="shared" si="3"/>
        <v>70560</v>
      </c>
      <c r="K50" s="244">
        <v>58537.5</v>
      </c>
      <c r="L50" s="122">
        <f t="shared" si="5"/>
        <v>12022.5</v>
      </c>
      <c r="M50" s="132">
        <f t="shared" si="6"/>
        <v>1.2258387137173598E-2</v>
      </c>
      <c r="O50" s="149"/>
    </row>
    <row r="51" spans="1:15">
      <c r="A51" s="60">
        <v>155</v>
      </c>
      <c r="B51" s="54" t="s">
        <v>36</v>
      </c>
      <c r="C51" s="99">
        <v>0</v>
      </c>
      <c r="D51" s="76"/>
      <c r="E51" s="76"/>
      <c r="F51" s="76"/>
      <c r="G51" s="76"/>
      <c r="H51" s="76"/>
      <c r="I51" s="76"/>
      <c r="J51" s="76">
        <f t="shared" si="3"/>
        <v>0</v>
      </c>
      <c r="K51" s="244">
        <v>0</v>
      </c>
      <c r="L51" s="122">
        <f t="shared" si="5"/>
        <v>0</v>
      </c>
      <c r="M51" s="132">
        <f t="shared" si="6"/>
        <v>0</v>
      </c>
      <c r="O51" s="149"/>
    </row>
    <row r="52" spans="1:15">
      <c r="A52" s="60">
        <v>158</v>
      </c>
      <c r="B52" s="54" t="s">
        <v>103</v>
      </c>
      <c r="C52" s="99">
        <v>4000</v>
      </c>
      <c r="D52" s="76">
        <v>2550</v>
      </c>
      <c r="E52" s="76"/>
      <c r="F52" s="76"/>
      <c r="G52" s="76"/>
      <c r="H52" s="76"/>
      <c r="I52" s="76"/>
      <c r="J52" s="76">
        <f t="shared" si="3"/>
        <v>6550</v>
      </c>
      <c r="K52" s="244">
        <v>5250</v>
      </c>
      <c r="L52" s="122">
        <f t="shared" si="5"/>
        <v>1300</v>
      </c>
      <c r="M52" s="132">
        <f t="shared" si="6"/>
        <v>1.0994069181321613E-3</v>
      </c>
      <c r="O52" s="149"/>
    </row>
    <row r="53" spans="1:15">
      <c r="A53" s="60">
        <v>162</v>
      </c>
      <c r="B53" s="54" t="s">
        <v>58</v>
      </c>
      <c r="C53" s="99">
        <v>1350</v>
      </c>
      <c r="D53" s="76"/>
      <c r="E53" s="76"/>
      <c r="F53" s="76"/>
      <c r="G53" s="76"/>
      <c r="H53" s="76"/>
      <c r="I53" s="76"/>
      <c r="J53" s="76">
        <f t="shared" si="3"/>
        <v>1350</v>
      </c>
      <c r="K53" s="244">
        <v>0</v>
      </c>
      <c r="L53" s="122">
        <f t="shared" si="5"/>
        <v>1350</v>
      </c>
      <c r="M53" s="132">
        <f t="shared" si="6"/>
        <v>0</v>
      </c>
      <c r="O53" s="149"/>
    </row>
    <row r="54" spans="1:15">
      <c r="A54" s="60">
        <v>164</v>
      </c>
      <c r="B54" s="54" t="s">
        <v>45</v>
      </c>
      <c r="C54" s="99">
        <v>12500</v>
      </c>
      <c r="D54" s="76"/>
      <c r="E54" s="76"/>
      <c r="F54" s="76"/>
      <c r="G54" s="76"/>
      <c r="H54" s="76"/>
      <c r="I54" s="76"/>
      <c r="J54" s="76">
        <f t="shared" si="3"/>
        <v>12500</v>
      </c>
      <c r="K54" s="244">
        <v>5250</v>
      </c>
      <c r="L54" s="122">
        <f t="shared" si="5"/>
        <v>7250</v>
      </c>
      <c r="M54" s="132">
        <f t="shared" si="6"/>
        <v>1.0994069181321613E-3</v>
      </c>
      <c r="O54" s="149"/>
    </row>
    <row r="55" spans="1:15">
      <c r="A55" s="60">
        <v>165</v>
      </c>
      <c r="B55" s="54" t="s">
        <v>104</v>
      </c>
      <c r="C55" s="99">
        <v>6900</v>
      </c>
      <c r="D55" s="76"/>
      <c r="E55" s="76"/>
      <c r="F55" s="76"/>
      <c r="G55" s="76"/>
      <c r="H55" s="76"/>
      <c r="I55" s="76"/>
      <c r="J55" s="76">
        <f t="shared" si="3"/>
        <v>6900</v>
      </c>
      <c r="K55" s="244">
        <v>948.60000000000014</v>
      </c>
      <c r="L55" s="122">
        <f t="shared" si="5"/>
        <v>5951.4</v>
      </c>
      <c r="M55" s="132">
        <f t="shared" si="6"/>
        <v>1.9864712429336538E-4</v>
      </c>
      <c r="O55" s="149"/>
    </row>
    <row r="56" spans="1:15">
      <c r="A56" s="60">
        <v>168</v>
      </c>
      <c r="B56" s="54" t="s">
        <v>59</v>
      </c>
      <c r="C56" s="99">
        <v>5500</v>
      </c>
      <c r="D56" s="76"/>
      <c r="E56" s="76"/>
      <c r="F56" s="76"/>
      <c r="G56" s="76"/>
      <c r="H56" s="76"/>
      <c r="I56" s="76"/>
      <c r="J56" s="76">
        <f t="shared" si="3"/>
        <v>5500</v>
      </c>
      <c r="K56" s="244">
        <v>1740</v>
      </c>
      <c r="L56" s="122">
        <f t="shared" si="5"/>
        <v>3760</v>
      </c>
      <c r="M56" s="132">
        <f t="shared" si="6"/>
        <v>3.6437486429523059E-4</v>
      </c>
      <c r="O56" s="149"/>
    </row>
    <row r="57" spans="1:15">
      <c r="A57" s="60">
        <v>174</v>
      </c>
      <c r="B57" s="54" t="s">
        <v>46</v>
      </c>
      <c r="C57" s="99">
        <v>5000</v>
      </c>
      <c r="D57" s="76"/>
      <c r="E57" s="76"/>
      <c r="F57" s="76"/>
      <c r="G57" s="76"/>
      <c r="H57" s="76"/>
      <c r="I57" s="76"/>
      <c r="J57" s="76">
        <f t="shared" si="3"/>
        <v>5000</v>
      </c>
      <c r="K57" s="244">
        <v>590</v>
      </c>
      <c r="L57" s="122">
        <f t="shared" si="5"/>
        <v>4410</v>
      </c>
      <c r="M57" s="132">
        <f t="shared" si="6"/>
        <v>1.2355239651390003E-4</v>
      </c>
      <c r="O57" s="149"/>
    </row>
    <row r="58" spans="1:15">
      <c r="A58" s="60">
        <v>182</v>
      </c>
      <c r="B58" s="54" t="s">
        <v>61</v>
      </c>
      <c r="C58" s="99">
        <v>0</v>
      </c>
      <c r="D58" s="76"/>
      <c r="E58" s="76"/>
      <c r="F58" s="76"/>
      <c r="G58" s="76"/>
      <c r="H58" s="76"/>
      <c r="I58" s="76"/>
      <c r="J58" s="76">
        <f t="shared" si="3"/>
        <v>0</v>
      </c>
      <c r="K58" s="244">
        <v>0</v>
      </c>
      <c r="L58" s="122">
        <f t="shared" si="5"/>
        <v>0</v>
      </c>
      <c r="M58" s="132">
        <f t="shared" si="6"/>
        <v>0</v>
      </c>
      <c r="O58" s="149"/>
    </row>
    <row r="59" spans="1:15">
      <c r="A59" s="60">
        <v>183</v>
      </c>
      <c r="B59" s="54" t="s">
        <v>105</v>
      </c>
      <c r="C59" s="99">
        <v>160000</v>
      </c>
      <c r="D59" s="76"/>
      <c r="E59" s="76"/>
      <c r="F59" s="76"/>
      <c r="G59" s="76">
        <v>75000</v>
      </c>
      <c r="H59" s="76"/>
      <c r="I59" s="76"/>
      <c r="J59" s="76">
        <f t="shared" si="3"/>
        <v>85000</v>
      </c>
      <c r="K59" s="244">
        <v>67617</v>
      </c>
      <c r="L59" s="122">
        <f t="shared" si="5"/>
        <v>17383</v>
      </c>
      <c r="M59" s="132">
        <f t="shared" si="6"/>
        <v>1.415973287301759E-2</v>
      </c>
      <c r="O59" s="149"/>
    </row>
    <row r="60" spans="1:15">
      <c r="A60" s="60">
        <v>184</v>
      </c>
      <c r="B60" s="54" t="s">
        <v>106</v>
      </c>
      <c r="C60" s="99">
        <v>42000</v>
      </c>
      <c r="D60" s="76"/>
      <c r="E60" s="76"/>
      <c r="F60" s="76"/>
      <c r="G60" s="76"/>
      <c r="H60" s="76"/>
      <c r="I60" s="76"/>
      <c r="J60" s="76">
        <f t="shared" si="3"/>
        <v>42000</v>
      </c>
      <c r="K60" s="244">
        <v>31820.83</v>
      </c>
      <c r="L60" s="122">
        <f t="shared" si="5"/>
        <v>10179.169999999998</v>
      </c>
      <c r="M60" s="132">
        <f t="shared" si="6"/>
        <v>6.6636267890871279E-3</v>
      </c>
      <c r="O60" s="149"/>
    </row>
    <row r="61" spans="1:15">
      <c r="A61" s="60">
        <v>185</v>
      </c>
      <c r="B61" s="54" t="s">
        <v>107</v>
      </c>
      <c r="C61" s="99">
        <v>69000</v>
      </c>
      <c r="D61" s="76"/>
      <c r="E61" s="76"/>
      <c r="F61" s="76"/>
      <c r="G61" s="76">
        <v>40000</v>
      </c>
      <c r="H61" s="76"/>
      <c r="I61" s="76">
        <v>19000</v>
      </c>
      <c r="J61" s="76">
        <f t="shared" si="3"/>
        <v>10000</v>
      </c>
      <c r="K61" s="244">
        <v>0</v>
      </c>
      <c r="L61" s="122">
        <f t="shared" si="5"/>
        <v>10000</v>
      </c>
      <c r="M61" s="132">
        <f t="shared" si="6"/>
        <v>0</v>
      </c>
      <c r="O61" s="149"/>
    </row>
    <row r="62" spans="1:15">
      <c r="A62" s="60">
        <v>186</v>
      </c>
      <c r="B62" s="54" t="s">
        <v>47</v>
      </c>
      <c r="C62" s="99">
        <v>2000</v>
      </c>
      <c r="D62" s="76"/>
      <c r="E62" s="76"/>
      <c r="F62" s="76"/>
      <c r="G62" s="76"/>
      <c r="H62" s="76"/>
      <c r="I62" s="76"/>
      <c r="J62" s="76">
        <f t="shared" si="3"/>
        <v>2000</v>
      </c>
      <c r="K62" s="244">
        <v>1055</v>
      </c>
      <c r="L62" s="122">
        <f t="shared" si="5"/>
        <v>945</v>
      </c>
      <c r="M62" s="132">
        <f t="shared" si="6"/>
        <v>2.2092843783417715E-4</v>
      </c>
      <c r="O62" s="149"/>
    </row>
    <row r="63" spans="1:15">
      <c r="A63" s="60">
        <v>187</v>
      </c>
      <c r="B63" s="54" t="s">
        <v>108</v>
      </c>
      <c r="C63" s="99">
        <v>51600</v>
      </c>
      <c r="D63" s="76"/>
      <c r="E63" s="76"/>
      <c r="F63" s="76"/>
      <c r="G63" s="76">
        <v>30000</v>
      </c>
      <c r="H63" s="76"/>
      <c r="I63" s="76"/>
      <c r="J63" s="76">
        <f t="shared" si="3"/>
        <v>21600</v>
      </c>
      <c r="K63" s="244">
        <v>3200</v>
      </c>
      <c r="L63" s="122">
        <f t="shared" si="5"/>
        <v>18400</v>
      </c>
      <c r="M63" s="132">
        <f t="shared" si="6"/>
        <v>6.7011469295674589E-4</v>
      </c>
      <c r="O63" s="149"/>
    </row>
    <row r="64" spans="1:15">
      <c r="A64" s="60">
        <v>188</v>
      </c>
      <c r="B64" s="54" t="s">
        <v>109</v>
      </c>
      <c r="C64" s="99">
        <v>0</v>
      </c>
      <c r="D64" s="76"/>
      <c r="E64" s="76"/>
      <c r="F64" s="76"/>
      <c r="G64" s="76"/>
      <c r="H64" s="76"/>
      <c r="I64" s="76"/>
      <c r="J64" s="76">
        <f t="shared" si="3"/>
        <v>0</v>
      </c>
      <c r="K64" s="244">
        <v>0</v>
      </c>
      <c r="L64" s="122">
        <f t="shared" si="5"/>
        <v>0</v>
      </c>
      <c r="M64" s="132">
        <f t="shared" si="6"/>
        <v>0</v>
      </c>
      <c r="O64" s="149"/>
    </row>
    <row r="65" spans="1:16">
      <c r="A65" s="60">
        <v>189</v>
      </c>
      <c r="B65" s="54" t="s">
        <v>110</v>
      </c>
      <c r="C65" s="99">
        <v>0</v>
      </c>
      <c r="D65" s="76">
        <v>275000</v>
      </c>
      <c r="E65" s="76"/>
      <c r="F65" s="76"/>
      <c r="G65" s="76">
        <v>10000</v>
      </c>
      <c r="H65" s="76"/>
      <c r="I65" s="76"/>
      <c r="J65" s="76">
        <f t="shared" si="3"/>
        <v>265000</v>
      </c>
      <c r="K65" s="244">
        <v>162879.02000000002</v>
      </c>
      <c r="L65" s="122">
        <f t="shared" si="5"/>
        <v>102120.97999999998</v>
      </c>
      <c r="M65" s="132">
        <f t="shared" si="6"/>
        <v>3.4108632648873649E-2</v>
      </c>
      <c r="O65" s="149"/>
    </row>
    <row r="66" spans="1:16">
      <c r="A66" s="60">
        <v>191</v>
      </c>
      <c r="B66" s="54" t="s">
        <v>111</v>
      </c>
      <c r="C66" s="99">
        <v>9000</v>
      </c>
      <c r="D66" s="76">
        <v>4000</v>
      </c>
      <c r="E66" s="76"/>
      <c r="F66" s="205"/>
      <c r="G66" s="76"/>
      <c r="H66" s="76"/>
      <c r="I66" s="76"/>
      <c r="J66" s="76">
        <f t="shared" si="3"/>
        <v>13000</v>
      </c>
      <c r="K66" s="244">
        <v>8986.27</v>
      </c>
      <c r="L66" s="122">
        <f t="shared" si="5"/>
        <v>4013.7299999999996</v>
      </c>
      <c r="M66" s="132">
        <f t="shared" si="6"/>
        <v>1.8818223630863804E-3</v>
      </c>
      <c r="O66" s="149"/>
    </row>
    <row r="67" spans="1:16">
      <c r="A67" s="60">
        <v>194</v>
      </c>
      <c r="B67" s="54" t="s">
        <v>112</v>
      </c>
      <c r="C67" s="99">
        <v>1080</v>
      </c>
      <c r="D67" s="76">
        <v>5000</v>
      </c>
      <c r="E67" s="76"/>
      <c r="F67" s="76"/>
      <c r="G67" s="76"/>
      <c r="H67" s="76"/>
      <c r="I67" s="76"/>
      <c r="J67" s="76">
        <f t="shared" si="3"/>
        <v>6080</v>
      </c>
      <c r="K67" s="244">
        <v>1469.27</v>
      </c>
      <c r="L67" s="122">
        <f t="shared" si="5"/>
        <v>4610.7299999999996</v>
      </c>
      <c r="M67" s="132">
        <f t="shared" si="6"/>
        <v>3.0768106716267437E-4</v>
      </c>
      <c r="O67" s="149"/>
    </row>
    <row r="68" spans="1:16">
      <c r="A68" s="60">
        <v>195</v>
      </c>
      <c r="B68" s="54" t="s">
        <v>37</v>
      </c>
      <c r="C68" s="99">
        <v>10000</v>
      </c>
      <c r="D68" s="76"/>
      <c r="E68" s="76"/>
      <c r="F68" s="76"/>
      <c r="G68" s="76"/>
      <c r="H68" s="76"/>
      <c r="I68" s="76"/>
      <c r="J68" s="76">
        <f t="shared" si="3"/>
        <v>10000</v>
      </c>
      <c r="K68" s="244">
        <v>5812.2800000000007</v>
      </c>
      <c r="L68" s="122">
        <f t="shared" si="5"/>
        <v>4187.7199999999993</v>
      </c>
      <c r="M68" s="132">
        <f t="shared" si="6"/>
        <v>1.2171544461183235E-3</v>
      </c>
      <c r="O68" s="149"/>
    </row>
    <row r="69" spans="1:16">
      <c r="A69" s="60">
        <v>196</v>
      </c>
      <c r="B69" s="54" t="s">
        <v>113</v>
      </c>
      <c r="C69" s="99">
        <v>31300</v>
      </c>
      <c r="D69" s="76"/>
      <c r="E69" s="76"/>
      <c r="F69" s="76"/>
      <c r="G69" s="76"/>
      <c r="H69" s="76"/>
      <c r="I69" s="76">
        <v>10500</v>
      </c>
      <c r="J69" s="76">
        <f t="shared" si="3"/>
        <v>20800</v>
      </c>
      <c r="K69" s="244">
        <v>12489.5</v>
      </c>
      <c r="L69" s="122">
        <f t="shared" si="5"/>
        <v>8310.5</v>
      </c>
      <c r="M69" s="132">
        <f t="shared" si="6"/>
        <v>2.6154367055260244E-3</v>
      </c>
      <c r="O69" s="149"/>
    </row>
    <row r="70" spans="1:16">
      <c r="A70" s="60">
        <v>199</v>
      </c>
      <c r="B70" s="54" t="s">
        <v>60</v>
      </c>
      <c r="C70" s="99">
        <v>26043.75</v>
      </c>
      <c r="D70" s="76"/>
      <c r="E70" s="76"/>
      <c r="F70" s="76"/>
      <c r="G70" s="76"/>
      <c r="H70" s="76"/>
      <c r="I70" s="76"/>
      <c r="J70" s="76">
        <f t="shared" si="3"/>
        <v>26043.75</v>
      </c>
      <c r="K70" s="244">
        <v>11426.5</v>
      </c>
      <c r="L70" s="122">
        <f t="shared" si="5"/>
        <v>14617.25</v>
      </c>
      <c r="M70" s="132">
        <f t="shared" si="6"/>
        <v>2.3928329809594553E-3</v>
      </c>
      <c r="O70" s="149"/>
    </row>
    <row r="71" spans="1:16">
      <c r="A71" s="60"/>
      <c r="B71" s="54"/>
      <c r="C71" s="99"/>
      <c r="D71" s="76"/>
      <c r="E71" s="76"/>
      <c r="F71" s="76"/>
      <c r="G71" s="76"/>
      <c r="H71" s="76"/>
      <c r="I71" s="76"/>
      <c r="J71" s="76"/>
      <c r="K71" s="244"/>
      <c r="L71" s="122"/>
      <c r="M71" s="132"/>
      <c r="O71" s="149"/>
    </row>
    <row r="72" spans="1:16">
      <c r="A72" s="59">
        <v>2</v>
      </c>
      <c r="B72" s="59" t="s">
        <v>11</v>
      </c>
      <c r="C72" s="99"/>
      <c r="D72" s="76"/>
      <c r="E72" s="76"/>
      <c r="F72" s="76"/>
      <c r="G72" s="76"/>
      <c r="H72" s="76"/>
      <c r="I72" s="76"/>
      <c r="J72" s="76"/>
      <c r="K72" s="248"/>
      <c r="L72" s="122"/>
      <c r="M72" s="132"/>
      <c r="O72" s="149"/>
    </row>
    <row r="73" spans="1:16">
      <c r="A73" s="60">
        <v>211</v>
      </c>
      <c r="B73" s="54" t="s">
        <v>24</v>
      </c>
      <c r="C73" s="99">
        <v>66744.479999999996</v>
      </c>
      <c r="D73" s="76"/>
      <c r="E73" s="76"/>
      <c r="F73" s="76"/>
      <c r="G73" s="76"/>
      <c r="H73" s="76">
        <v>19000</v>
      </c>
      <c r="I73" s="76"/>
      <c r="J73" s="76">
        <f t="shared" ref="J73:J98" si="7">C73+D73-E73+F73-G73+H73-I73</f>
        <v>85744.48</v>
      </c>
      <c r="K73" s="244">
        <v>58077.75</v>
      </c>
      <c r="L73" s="122">
        <f t="shared" si="5"/>
        <v>27666.729999999996</v>
      </c>
      <c r="M73" s="132">
        <f t="shared" ref="M73:M98" si="8">K73/$K$114</f>
        <v>1.2162110502771453E-2</v>
      </c>
      <c r="O73" s="149"/>
    </row>
    <row r="74" spans="1:16">
      <c r="A74" s="60">
        <v>219</v>
      </c>
      <c r="B74" s="54" t="s">
        <v>25</v>
      </c>
      <c r="C74" s="99">
        <v>0</v>
      </c>
      <c r="D74" s="76"/>
      <c r="E74" s="76"/>
      <c r="F74" s="76"/>
      <c r="G74" s="76"/>
      <c r="H74" s="76"/>
      <c r="I74" s="76"/>
      <c r="J74" s="76">
        <f t="shared" si="7"/>
        <v>0</v>
      </c>
      <c r="K74" s="244">
        <v>0</v>
      </c>
      <c r="L74" s="122">
        <f t="shared" si="5"/>
        <v>0</v>
      </c>
      <c r="M74" s="132">
        <f t="shared" si="8"/>
        <v>0</v>
      </c>
      <c r="O74" s="149"/>
    </row>
    <row r="75" spans="1:16">
      <c r="A75" s="60">
        <v>232</v>
      </c>
      <c r="B75" s="54" t="s">
        <v>62</v>
      </c>
      <c r="C75" s="99">
        <v>1140</v>
      </c>
      <c r="D75" s="76"/>
      <c r="E75" s="76"/>
      <c r="F75" s="76"/>
      <c r="G75" s="76"/>
      <c r="H75" s="76"/>
      <c r="I75" s="76"/>
      <c r="J75" s="76">
        <f t="shared" si="7"/>
        <v>1140</v>
      </c>
      <c r="K75" s="244">
        <v>540</v>
      </c>
      <c r="L75" s="122">
        <f t="shared" si="5"/>
        <v>600</v>
      </c>
      <c r="M75" s="132">
        <f t="shared" si="8"/>
        <v>1.1308185443645087E-4</v>
      </c>
      <c r="O75" s="149"/>
    </row>
    <row r="76" spans="1:16">
      <c r="A76" s="60">
        <v>233</v>
      </c>
      <c r="B76" s="54" t="s">
        <v>75</v>
      </c>
      <c r="C76" s="99">
        <v>58000</v>
      </c>
      <c r="D76" s="76"/>
      <c r="E76" s="76"/>
      <c r="F76" s="76"/>
      <c r="G76" s="76">
        <v>5000</v>
      </c>
      <c r="H76" s="76"/>
      <c r="I76" s="76">
        <v>27000</v>
      </c>
      <c r="J76" s="76">
        <f t="shared" si="7"/>
        <v>26000</v>
      </c>
      <c r="K76" s="244">
        <v>25745</v>
      </c>
      <c r="L76" s="122">
        <f t="shared" si="5"/>
        <v>255</v>
      </c>
      <c r="M76" s="132">
        <f t="shared" si="8"/>
        <v>5.3912821156785699E-3</v>
      </c>
      <c r="O76" s="149"/>
      <c r="P76" s="253"/>
    </row>
    <row r="77" spans="1:16">
      <c r="A77" s="60">
        <v>241</v>
      </c>
      <c r="B77" s="54" t="s">
        <v>63</v>
      </c>
      <c r="C77" s="99">
        <v>3000</v>
      </c>
      <c r="D77" s="76">
        <v>3500</v>
      </c>
      <c r="E77" s="76"/>
      <c r="F77" s="76">
        <v>3250</v>
      </c>
      <c r="G77" s="76"/>
      <c r="H77" s="76"/>
      <c r="I77" s="76"/>
      <c r="J77" s="76">
        <f t="shared" si="7"/>
        <v>9750</v>
      </c>
      <c r="K77" s="244">
        <v>5420.8</v>
      </c>
      <c r="L77" s="122">
        <f t="shared" si="5"/>
        <v>4329.2</v>
      </c>
      <c r="M77" s="132">
        <f t="shared" si="8"/>
        <v>1.1351742898687276E-3</v>
      </c>
      <c r="O77" s="149"/>
      <c r="P77" s="253"/>
    </row>
    <row r="78" spans="1:16">
      <c r="A78" s="60">
        <v>243</v>
      </c>
      <c r="B78" s="54" t="s">
        <v>48</v>
      </c>
      <c r="C78" s="99">
        <v>350</v>
      </c>
      <c r="D78" s="76"/>
      <c r="E78" s="76"/>
      <c r="F78" s="76">
        <v>250</v>
      </c>
      <c r="G78" s="76"/>
      <c r="H78" s="76"/>
      <c r="I78" s="76"/>
      <c r="J78" s="76">
        <f t="shared" si="7"/>
        <v>600</v>
      </c>
      <c r="K78" s="244">
        <v>212.7</v>
      </c>
      <c r="L78" s="122">
        <f t="shared" si="5"/>
        <v>387.3</v>
      </c>
      <c r="M78" s="132">
        <f t="shared" si="8"/>
        <v>4.4541685997468702E-5</v>
      </c>
      <c r="O78" s="149"/>
    </row>
    <row r="79" spans="1:16">
      <c r="A79" s="60">
        <v>244</v>
      </c>
      <c r="B79" s="54" t="s">
        <v>49</v>
      </c>
      <c r="C79" s="99">
        <v>1000</v>
      </c>
      <c r="D79" s="76"/>
      <c r="E79" s="76"/>
      <c r="F79" s="76"/>
      <c r="G79" s="76"/>
      <c r="H79" s="76"/>
      <c r="I79" s="76"/>
      <c r="J79" s="76">
        <f t="shared" si="7"/>
        <v>1000</v>
      </c>
      <c r="K79" s="244">
        <v>771.1</v>
      </c>
      <c r="L79" s="122">
        <f t="shared" si="5"/>
        <v>228.89999999999998</v>
      </c>
      <c r="M79" s="132">
        <f t="shared" si="8"/>
        <v>1.6147669991842085E-4</v>
      </c>
      <c r="O79" s="149"/>
    </row>
    <row r="80" spans="1:16">
      <c r="A80" s="60">
        <v>245</v>
      </c>
      <c r="B80" s="54" t="s">
        <v>50</v>
      </c>
      <c r="C80" s="99">
        <v>1305</v>
      </c>
      <c r="D80" s="76"/>
      <c r="E80" s="76"/>
      <c r="F80" s="76"/>
      <c r="G80" s="76"/>
      <c r="H80" s="76"/>
      <c r="I80" s="76"/>
      <c r="J80" s="76">
        <f t="shared" si="7"/>
        <v>1305</v>
      </c>
      <c r="K80" s="244">
        <v>0</v>
      </c>
      <c r="L80" s="122">
        <f t="shared" si="5"/>
        <v>1305</v>
      </c>
      <c r="M80" s="132">
        <f t="shared" si="8"/>
        <v>0</v>
      </c>
      <c r="O80" s="149"/>
    </row>
    <row r="81" spans="1:15">
      <c r="A81" s="60">
        <v>253</v>
      </c>
      <c r="B81" s="54" t="s">
        <v>41</v>
      </c>
      <c r="C81" s="99">
        <v>2500</v>
      </c>
      <c r="D81" s="76"/>
      <c r="E81" s="76"/>
      <c r="F81" s="76">
        <v>3000</v>
      </c>
      <c r="G81" s="76"/>
      <c r="H81" s="76"/>
      <c r="I81" s="76"/>
      <c r="J81" s="76">
        <f t="shared" si="7"/>
        <v>5500</v>
      </c>
      <c r="K81" s="244">
        <v>3375</v>
      </c>
      <c r="L81" s="122">
        <f t="shared" si="5"/>
        <v>2125</v>
      </c>
      <c r="M81" s="132">
        <f t="shared" si="8"/>
        <v>7.0676159022781788E-4</v>
      </c>
      <c r="O81" s="149"/>
    </row>
    <row r="82" spans="1:15">
      <c r="A82" s="60">
        <v>254</v>
      </c>
      <c r="B82" s="54" t="s">
        <v>51</v>
      </c>
      <c r="C82" s="99">
        <v>200</v>
      </c>
      <c r="D82" s="76">
        <v>500</v>
      </c>
      <c r="E82" s="76"/>
      <c r="F82" s="76"/>
      <c r="G82" s="76"/>
      <c r="H82" s="76"/>
      <c r="I82" s="76"/>
      <c r="J82" s="76">
        <f t="shared" si="7"/>
        <v>700</v>
      </c>
      <c r="K82" s="244">
        <v>527.89</v>
      </c>
      <c r="L82" s="122">
        <f t="shared" si="5"/>
        <v>172.11</v>
      </c>
      <c r="M82" s="132">
        <f t="shared" si="8"/>
        <v>1.1054588914529268E-4</v>
      </c>
      <c r="O82" s="149"/>
    </row>
    <row r="83" spans="1:15">
      <c r="A83" s="60">
        <v>262</v>
      </c>
      <c r="B83" s="54" t="s">
        <v>64</v>
      </c>
      <c r="C83" s="99">
        <v>9770</v>
      </c>
      <c r="D83" s="76"/>
      <c r="E83" s="76"/>
      <c r="F83" s="76"/>
      <c r="G83" s="76"/>
      <c r="H83" s="76"/>
      <c r="I83" s="76"/>
      <c r="J83" s="76">
        <f t="shared" si="7"/>
        <v>9770</v>
      </c>
      <c r="K83" s="244">
        <v>6089.82</v>
      </c>
      <c r="L83" s="122">
        <f t="shared" si="5"/>
        <v>3680.1800000000003</v>
      </c>
      <c r="M83" s="132">
        <f t="shared" si="8"/>
        <v>1.275274331081828E-3</v>
      </c>
      <c r="O83" s="149"/>
    </row>
    <row r="84" spans="1:15">
      <c r="A84" s="60">
        <v>266</v>
      </c>
      <c r="B84" s="54" t="s">
        <v>65</v>
      </c>
      <c r="C84" s="99">
        <v>600</v>
      </c>
      <c r="D84" s="76"/>
      <c r="E84" s="76"/>
      <c r="F84" s="76"/>
      <c r="G84" s="76"/>
      <c r="H84" s="76"/>
      <c r="I84" s="76"/>
      <c r="J84" s="76">
        <f t="shared" si="7"/>
        <v>600</v>
      </c>
      <c r="K84" s="244">
        <v>293.61</v>
      </c>
      <c r="L84" s="122">
        <f t="shared" si="5"/>
        <v>306.39</v>
      </c>
      <c r="M84" s="132">
        <f t="shared" si="8"/>
        <v>6.1485117187196929E-5</v>
      </c>
      <c r="O84" s="149"/>
    </row>
    <row r="85" spans="1:15">
      <c r="A85" s="60">
        <v>267</v>
      </c>
      <c r="B85" s="54" t="s">
        <v>93</v>
      </c>
      <c r="C85" s="99">
        <v>15000</v>
      </c>
      <c r="D85" s="76"/>
      <c r="E85" s="76"/>
      <c r="F85" s="76">
        <v>7000</v>
      </c>
      <c r="G85" s="76"/>
      <c r="H85" s="76"/>
      <c r="I85" s="76"/>
      <c r="J85" s="76">
        <f t="shared" si="7"/>
        <v>22000</v>
      </c>
      <c r="K85" s="244">
        <v>19030</v>
      </c>
      <c r="L85" s="122">
        <f t="shared" si="5"/>
        <v>2970</v>
      </c>
      <c r="M85" s="132">
        <f t="shared" si="8"/>
        <v>3.9850883146771484E-3</v>
      </c>
      <c r="O85" s="149"/>
    </row>
    <row r="86" spans="1:15">
      <c r="A86" s="60">
        <v>268</v>
      </c>
      <c r="B86" s="54" t="s">
        <v>66</v>
      </c>
      <c r="C86" s="99">
        <v>1858</v>
      </c>
      <c r="D86" s="76"/>
      <c r="E86" s="76"/>
      <c r="F86" s="76"/>
      <c r="G86" s="76"/>
      <c r="H86" s="76"/>
      <c r="I86" s="76"/>
      <c r="J86" s="76">
        <f t="shared" si="7"/>
        <v>1858</v>
      </c>
      <c r="K86" s="244">
        <v>1645</v>
      </c>
      <c r="L86" s="122">
        <f t="shared" si="5"/>
        <v>213</v>
      </c>
      <c r="M86" s="132">
        <f t="shared" si="8"/>
        <v>3.4448083434807715E-4</v>
      </c>
      <c r="O86" s="149"/>
    </row>
    <row r="87" spans="1:15">
      <c r="A87" s="60">
        <v>269</v>
      </c>
      <c r="B87" s="54" t="s">
        <v>67</v>
      </c>
      <c r="C87" s="99">
        <v>500</v>
      </c>
      <c r="D87" s="76"/>
      <c r="E87" s="76"/>
      <c r="F87" s="76"/>
      <c r="G87" s="76"/>
      <c r="H87" s="76"/>
      <c r="I87" s="76"/>
      <c r="J87" s="76">
        <f t="shared" si="7"/>
        <v>500</v>
      </c>
      <c r="K87" s="244">
        <v>0</v>
      </c>
      <c r="L87" s="122">
        <f t="shared" si="5"/>
        <v>500</v>
      </c>
      <c r="M87" s="132">
        <f t="shared" si="8"/>
        <v>0</v>
      </c>
      <c r="O87" s="149"/>
    </row>
    <row r="88" spans="1:15">
      <c r="A88" s="60">
        <v>271</v>
      </c>
      <c r="B88" s="54" t="s">
        <v>68</v>
      </c>
      <c r="C88" s="99">
        <v>381250</v>
      </c>
      <c r="D88" s="76"/>
      <c r="E88" s="76"/>
      <c r="F88" s="76"/>
      <c r="G88" s="76">
        <v>300760</v>
      </c>
      <c r="H88" s="76"/>
      <c r="I88" s="76"/>
      <c r="J88" s="76">
        <f t="shared" si="7"/>
        <v>80490</v>
      </c>
      <c r="K88" s="244">
        <v>76829.8</v>
      </c>
      <c r="L88" s="122">
        <f t="shared" si="5"/>
        <v>3660.1999999999971</v>
      </c>
      <c r="M88" s="132">
        <f t="shared" si="8"/>
        <v>1.6088993074040062E-2</v>
      </c>
      <c r="O88" s="149"/>
    </row>
    <row r="89" spans="1:15">
      <c r="A89" s="60">
        <v>283</v>
      </c>
      <c r="B89" s="54" t="s">
        <v>69</v>
      </c>
      <c r="C89" s="99">
        <v>1000</v>
      </c>
      <c r="D89" s="76"/>
      <c r="E89" s="76"/>
      <c r="F89" s="76"/>
      <c r="G89" s="76"/>
      <c r="H89" s="76"/>
      <c r="I89" s="76"/>
      <c r="J89" s="76">
        <f t="shared" si="7"/>
        <v>1000</v>
      </c>
      <c r="K89" s="244">
        <v>31.2</v>
      </c>
      <c r="L89" s="122">
        <f t="shared" ref="L89:L105" si="9">J89-K89</f>
        <v>968.8</v>
      </c>
      <c r="M89" s="132">
        <f t="shared" si="8"/>
        <v>6.5336182563282724E-6</v>
      </c>
      <c r="O89" s="149"/>
    </row>
    <row r="90" spans="1:15">
      <c r="A90" s="60">
        <v>284</v>
      </c>
      <c r="B90" s="54" t="s">
        <v>52</v>
      </c>
      <c r="C90" s="99">
        <v>5000</v>
      </c>
      <c r="D90" s="76">
        <v>7000</v>
      </c>
      <c r="E90" s="76"/>
      <c r="F90" s="76"/>
      <c r="G90" s="76"/>
      <c r="H90" s="76"/>
      <c r="I90" s="76"/>
      <c r="J90" s="76">
        <f t="shared" si="7"/>
        <v>12000</v>
      </c>
      <c r="K90" s="244">
        <v>344.23</v>
      </c>
      <c r="L90" s="122">
        <f t="shared" si="9"/>
        <v>11655.77</v>
      </c>
      <c r="M90" s="132">
        <f t="shared" si="8"/>
        <v>7.2085493986406453E-5</v>
      </c>
      <c r="O90" s="149"/>
    </row>
    <row r="91" spans="1:15">
      <c r="A91" s="60">
        <v>285</v>
      </c>
      <c r="B91" s="54" t="s">
        <v>128</v>
      </c>
      <c r="C91" s="99">
        <v>1516915</v>
      </c>
      <c r="D91" s="76"/>
      <c r="E91" s="76">
        <v>476000</v>
      </c>
      <c r="F91" s="76"/>
      <c r="G91" s="76">
        <v>310740</v>
      </c>
      <c r="H91" s="76"/>
      <c r="I91" s="76"/>
      <c r="J91" s="76">
        <f t="shared" si="7"/>
        <v>730175</v>
      </c>
      <c r="K91" s="244">
        <v>722736.5</v>
      </c>
      <c r="L91" s="122">
        <f t="shared" si="9"/>
        <v>7438.5</v>
      </c>
      <c r="M91" s="132">
        <f t="shared" si="8"/>
        <v>0.15134885868316661</v>
      </c>
      <c r="O91" s="149"/>
    </row>
    <row r="92" spans="1:15">
      <c r="A92" s="60">
        <v>291</v>
      </c>
      <c r="B92" s="54" t="s">
        <v>70</v>
      </c>
      <c r="C92" s="99">
        <v>6500</v>
      </c>
      <c r="D92" s="76">
        <v>2500</v>
      </c>
      <c r="E92" s="76"/>
      <c r="F92" s="76"/>
      <c r="G92" s="76"/>
      <c r="H92" s="76"/>
      <c r="I92" s="76"/>
      <c r="J92" s="76">
        <f t="shared" si="7"/>
        <v>9000</v>
      </c>
      <c r="K92" s="244">
        <v>6466.1699999999992</v>
      </c>
      <c r="L92" s="122">
        <f t="shared" si="9"/>
        <v>2533.8300000000008</v>
      </c>
      <c r="M92" s="132">
        <f t="shared" si="8"/>
        <v>1.3540861012987877E-3</v>
      </c>
      <c r="O92" s="149"/>
    </row>
    <row r="93" spans="1:15">
      <c r="A93" s="60">
        <v>292</v>
      </c>
      <c r="B93" s="54" t="s">
        <v>71</v>
      </c>
      <c r="C93" s="99">
        <v>1300</v>
      </c>
      <c r="D93" s="76">
        <v>500</v>
      </c>
      <c r="E93" s="76"/>
      <c r="F93" s="76"/>
      <c r="G93" s="76"/>
      <c r="H93" s="76"/>
      <c r="I93" s="76"/>
      <c r="J93" s="76">
        <f t="shared" si="7"/>
        <v>1800</v>
      </c>
      <c r="K93" s="244">
        <v>1118.9099999999999</v>
      </c>
      <c r="L93" s="122">
        <f t="shared" si="9"/>
        <v>681.09000000000015</v>
      </c>
      <c r="M93" s="132">
        <f t="shared" si="8"/>
        <v>2.3431188471757263E-4</v>
      </c>
      <c r="O93" s="149"/>
    </row>
    <row r="94" spans="1:15">
      <c r="A94" s="60">
        <v>294</v>
      </c>
      <c r="B94" s="54" t="s">
        <v>72</v>
      </c>
      <c r="C94" s="99">
        <v>65000</v>
      </c>
      <c r="D94" s="98"/>
      <c r="E94" s="98"/>
      <c r="F94" s="76"/>
      <c r="G94" s="76"/>
      <c r="H94" s="76"/>
      <c r="I94" s="76"/>
      <c r="J94" s="76">
        <f t="shared" si="7"/>
        <v>65000</v>
      </c>
      <c r="K94" s="244">
        <v>40306.29</v>
      </c>
      <c r="L94" s="122">
        <f t="shared" si="9"/>
        <v>24693.71</v>
      </c>
      <c r="M94" s="132">
        <f t="shared" si="8"/>
        <v>8.4405741086173609E-3</v>
      </c>
      <c r="O94" s="149"/>
    </row>
    <row r="95" spans="1:15">
      <c r="A95" s="60">
        <v>296</v>
      </c>
      <c r="B95" s="54" t="s">
        <v>114</v>
      </c>
      <c r="C95" s="99">
        <v>800</v>
      </c>
      <c r="D95" s="76"/>
      <c r="E95" s="76"/>
      <c r="F95" s="76"/>
      <c r="G95" s="76"/>
      <c r="H95" s="76"/>
      <c r="I95" s="76"/>
      <c r="J95" s="76">
        <f t="shared" si="7"/>
        <v>800</v>
      </c>
      <c r="K95" s="244">
        <v>0</v>
      </c>
      <c r="L95" s="122">
        <f t="shared" si="9"/>
        <v>800</v>
      </c>
      <c r="M95" s="132">
        <f t="shared" si="8"/>
        <v>0</v>
      </c>
      <c r="O95" s="149"/>
    </row>
    <row r="96" spans="1:15">
      <c r="A96" s="60">
        <v>297</v>
      </c>
      <c r="B96" s="54" t="s">
        <v>73</v>
      </c>
      <c r="C96" s="99">
        <v>800</v>
      </c>
      <c r="D96" s="76"/>
      <c r="E96" s="76"/>
      <c r="F96" s="76"/>
      <c r="G96" s="76"/>
      <c r="H96" s="76"/>
      <c r="I96" s="76"/>
      <c r="J96" s="76">
        <f t="shared" si="7"/>
        <v>800</v>
      </c>
      <c r="K96" s="244">
        <v>45</v>
      </c>
      <c r="L96" s="122">
        <f t="shared" si="9"/>
        <v>755</v>
      </c>
      <c r="M96" s="132">
        <f t="shared" si="8"/>
        <v>9.4234878697042397E-6</v>
      </c>
      <c r="O96" s="149"/>
    </row>
    <row r="97" spans="1:15">
      <c r="A97" s="60">
        <v>298</v>
      </c>
      <c r="B97" s="54" t="s">
        <v>26</v>
      </c>
      <c r="C97" s="99">
        <v>20000</v>
      </c>
      <c r="D97" s="98"/>
      <c r="E97" s="98"/>
      <c r="F97" s="76"/>
      <c r="G97" s="76">
        <v>5000</v>
      </c>
      <c r="H97" s="76">
        <v>25750</v>
      </c>
      <c r="I97" s="76"/>
      <c r="J97" s="76">
        <f t="shared" si="7"/>
        <v>40750</v>
      </c>
      <c r="K97" s="244">
        <v>19945.43</v>
      </c>
      <c r="L97" s="122">
        <f t="shared" si="9"/>
        <v>20804.57</v>
      </c>
      <c r="M97" s="132">
        <f t="shared" si="8"/>
        <v>4.1767892813563334E-3</v>
      </c>
      <c r="O97" s="149"/>
    </row>
    <row r="98" spans="1:15">
      <c r="A98" s="60">
        <v>299</v>
      </c>
      <c r="B98" s="54" t="s">
        <v>74</v>
      </c>
      <c r="C98" s="99">
        <v>15000</v>
      </c>
      <c r="D98" s="98"/>
      <c r="E98" s="98"/>
      <c r="F98" s="76"/>
      <c r="G98" s="76"/>
      <c r="H98" s="76"/>
      <c r="I98" s="76"/>
      <c r="J98" s="76">
        <f t="shared" si="7"/>
        <v>15000</v>
      </c>
      <c r="K98" s="244">
        <v>5539.81</v>
      </c>
      <c r="L98" s="122">
        <f t="shared" si="9"/>
        <v>9460.1899999999987</v>
      </c>
      <c r="M98" s="132">
        <f t="shared" si="8"/>
        <v>1.160096274121472E-3</v>
      </c>
      <c r="O98" s="149"/>
    </row>
    <row r="99" spans="1:15">
      <c r="A99" s="60"/>
      <c r="B99" s="54"/>
      <c r="C99" s="99"/>
      <c r="D99" s="98"/>
      <c r="E99" s="98"/>
      <c r="F99" s="76"/>
      <c r="G99" s="76"/>
      <c r="H99" s="76"/>
      <c r="I99" s="76"/>
      <c r="J99" s="76"/>
      <c r="K99" s="244"/>
      <c r="L99" s="122"/>
      <c r="M99" s="132"/>
      <c r="O99" s="149"/>
    </row>
    <row r="100" spans="1:15">
      <c r="A100" s="59">
        <v>3</v>
      </c>
      <c r="B100" s="59" t="s">
        <v>178</v>
      </c>
      <c r="C100" s="99"/>
      <c r="D100" s="76"/>
      <c r="E100" s="76"/>
      <c r="F100" s="76"/>
      <c r="G100" s="76"/>
      <c r="H100" s="76"/>
      <c r="I100" s="76"/>
      <c r="J100" s="76"/>
      <c r="K100" s="248"/>
      <c r="L100" s="122"/>
      <c r="M100" s="132"/>
      <c r="O100" s="149"/>
    </row>
    <row r="101" spans="1:15">
      <c r="A101" s="60">
        <v>322</v>
      </c>
      <c r="B101" s="54" t="s">
        <v>88</v>
      </c>
      <c r="C101" s="99">
        <v>32000</v>
      </c>
      <c r="D101" s="76"/>
      <c r="E101" s="76"/>
      <c r="F101" s="76"/>
      <c r="G101" s="76"/>
      <c r="H101" s="76"/>
      <c r="I101" s="76"/>
      <c r="J101" s="76">
        <f t="shared" ref="J101:J105" si="10">C101+D101-E101+F101-G101+H101-I101</f>
        <v>32000</v>
      </c>
      <c r="K101" s="244">
        <v>23544</v>
      </c>
      <c r="L101" s="122">
        <f t="shared" si="9"/>
        <v>8456</v>
      </c>
      <c r="M101" s="132">
        <f>K101/$K$114</f>
        <v>4.9303688534292579E-3</v>
      </c>
      <c r="O101" s="149"/>
    </row>
    <row r="102" spans="1:15">
      <c r="A102" s="60">
        <v>323</v>
      </c>
      <c r="B102" s="54" t="s">
        <v>140</v>
      </c>
      <c r="C102" s="99">
        <v>3000</v>
      </c>
      <c r="D102" s="76"/>
      <c r="E102" s="76"/>
      <c r="F102" s="76"/>
      <c r="G102" s="76"/>
      <c r="H102" s="76"/>
      <c r="I102" s="76"/>
      <c r="J102" s="76">
        <f t="shared" si="10"/>
        <v>3000</v>
      </c>
      <c r="K102" s="244">
        <v>0</v>
      </c>
      <c r="L102" s="122">
        <f t="shared" si="9"/>
        <v>3000</v>
      </c>
      <c r="M102" s="132">
        <f>K102/$K$114</f>
        <v>0</v>
      </c>
      <c r="O102" s="149"/>
    </row>
    <row r="103" spans="1:15">
      <c r="A103" s="60">
        <v>324</v>
      </c>
      <c r="B103" s="54" t="s">
        <v>141</v>
      </c>
      <c r="C103" s="99">
        <v>116220</v>
      </c>
      <c r="D103" s="76"/>
      <c r="E103" s="76"/>
      <c r="F103" s="76"/>
      <c r="G103" s="76"/>
      <c r="H103" s="76">
        <v>65000</v>
      </c>
      <c r="I103" s="76"/>
      <c r="J103" s="76">
        <f t="shared" si="10"/>
        <v>181220</v>
      </c>
      <c r="K103" s="244">
        <v>11100</v>
      </c>
      <c r="L103" s="122">
        <f t="shared" si="9"/>
        <v>170120</v>
      </c>
      <c r="M103" s="132">
        <f>K103/$K$114</f>
        <v>2.3244603411937122E-3</v>
      </c>
      <c r="O103" s="149"/>
    </row>
    <row r="104" spans="1:15">
      <c r="A104" s="60">
        <v>328</v>
      </c>
      <c r="B104" s="54" t="s">
        <v>89</v>
      </c>
      <c r="C104" s="99">
        <v>18000</v>
      </c>
      <c r="D104" s="76"/>
      <c r="E104" s="76"/>
      <c r="F104" s="76"/>
      <c r="G104" s="76"/>
      <c r="H104" s="76"/>
      <c r="I104" s="76"/>
      <c r="J104" s="76">
        <f t="shared" si="10"/>
        <v>18000</v>
      </c>
      <c r="K104" s="244">
        <v>11820</v>
      </c>
      <c r="L104" s="122">
        <f t="shared" si="9"/>
        <v>6180</v>
      </c>
      <c r="M104" s="132">
        <f>K104/$K$114</f>
        <v>2.47523614710898E-3</v>
      </c>
      <c r="O104" s="149"/>
    </row>
    <row r="105" spans="1:15">
      <c r="A105" s="60">
        <v>329</v>
      </c>
      <c r="B105" s="54" t="s">
        <v>90</v>
      </c>
      <c r="C105" s="99">
        <v>8000</v>
      </c>
      <c r="D105" s="76">
        <v>5000</v>
      </c>
      <c r="E105" s="76"/>
      <c r="F105" s="76"/>
      <c r="G105" s="76"/>
      <c r="H105" s="76"/>
      <c r="I105" s="76"/>
      <c r="J105" s="76">
        <f t="shared" si="10"/>
        <v>13000</v>
      </c>
      <c r="K105" s="244">
        <v>0</v>
      </c>
      <c r="L105" s="122">
        <f t="shared" si="9"/>
        <v>13000</v>
      </c>
      <c r="M105" s="132">
        <f>K105/$K$114</f>
        <v>0</v>
      </c>
      <c r="O105" s="149"/>
    </row>
    <row r="106" spans="1:15">
      <c r="A106" s="60"/>
      <c r="B106" s="54"/>
      <c r="C106" s="99"/>
      <c r="D106" s="76"/>
      <c r="E106" s="76"/>
      <c r="F106" s="76"/>
      <c r="G106" s="76"/>
      <c r="H106" s="76"/>
      <c r="I106" s="76"/>
      <c r="J106" s="76"/>
      <c r="K106" s="244"/>
      <c r="L106" s="122"/>
      <c r="M106" s="132"/>
      <c r="O106" s="149"/>
    </row>
    <row r="107" spans="1:15">
      <c r="A107" s="59">
        <v>4</v>
      </c>
      <c r="B107" s="59" t="s">
        <v>13</v>
      </c>
      <c r="C107" s="99"/>
      <c r="D107" s="76"/>
      <c r="E107" s="76"/>
      <c r="F107" s="76"/>
      <c r="G107" s="76"/>
      <c r="H107" s="76"/>
      <c r="I107" s="76"/>
      <c r="J107" s="76"/>
      <c r="K107" s="244"/>
      <c r="L107" s="122"/>
      <c r="M107" s="132"/>
      <c r="O107" s="149"/>
    </row>
    <row r="108" spans="1:15">
      <c r="A108" s="61">
        <v>413</v>
      </c>
      <c r="B108" s="62" t="s">
        <v>77</v>
      </c>
      <c r="C108" s="99">
        <v>46000</v>
      </c>
      <c r="D108" s="76"/>
      <c r="E108" s="76"/>
      <c r="F108" s="76"/>
      <c r="G108" s="76"/>
      <c r="H108" s="76"/>
      <c r="I108" s="76"/>
      <c r="J108" s="76">
        <f t="shared" ref="J108:J112" si="11">C108+D108-E108+F108-G108+H108-I108</f>
        <v>46000</v>
      </c>
      <c r="K108" s="244">
        <v>0</v>
      </c>
      <c r="L108" s="122">
        <f t="shared" ref="L108:L112" si="12">J108-K108</f>
        <v>46000</v>
      </c>
      <c r="M108" s="132">
        <f>K108/$K$114</f>
        <v>0</v>
      </c>
      <c r="O108" s="149"/>
    </row>
    <row r="109" spans="1:15">
      <c r="A109" s="61">
        <v>415</v>
      </c>
      <c r="B109" s="62" t="s">
        <v>78</v>
      </c>
      <c r="C109" s="99">
        <v>30100</v>
      </c>
      <c r="D109" s="76"/>
      <c r="E109" s="76"/>
      <c r="F109" s="76"/>
      <c r="G109" s="76"/>
      <c r="H109" s="76"/>
      <c r="I109" s="76"/>
      <c r="J109" s="76">
        <f t="shared" si="11"/>
        <v>30100</v>
      </c>
      <c r="K109" s="244">
        <v>0</v>
      </c>
      <c r="L109" s="122">
        <f t="shared" si="12"/>
        <v>30100</v>
      </c>
      <c r="M109" s="132">
        <f>K109/$K$114</f>
        <v>0</v>
      </c>
      <c r="O109" s="149"/>
    </row>
    <row r="110" spans="1:15">
      <c r="A110" s="61">
        <v>419</v>
      </c>
      <c r="B110" s="62" t="s">
        <v>79</v>
      </c>
      <c r="C110" s="99">
        <v>19200</v>
      </c>
      <c r="D110" s="76"/>
      <c r="E110" s="76"/>
      <c r="F110" s="76"/>
      <c r="G110" s="76"/>
      <c r="H110" s="76"/>
      <c r="I110" s="76"/>
      <c r="J110" s="76">
        <f t="shared" si="11"/>
        <v>19200</v>
      </c>
      <c r="K110" s="244">
        <v>3600</v>
      </c>
      <c r="L110" s="122">
        <f t="shared" si="12"/>
        <v>15600</v>
      </c>
      <c r="M110" s="132">
        <f>K110/$K$114</f>
        <v>7.5387902957633915E-4</v>
      </c>
      <c r="O110" s="149"/>
    </row>
    <row r="111" spans="1:15">
      <c r="A111" s="61">
        <v>453</v>
      </c>
      <c r="B111" s="62" t="s">
        <v>80</v>
      </c>
      <c r="C111" s="99">
        <v>120000</v>
      </c>
      <c r="D111" s="76"/>
      <c r="E111" s="76"/>
      <c r="F111" s="76">
        <v>105000</v>
      </c>
      <c r="G111" s="76"/>
      <c r="H111" s="76"/>
      <c r="I111" s="76"/>
      <c r="J111" s="76">
        <f t="shared" si="11"/>
        <v>225000</v>
      </c>
      <c r="K111" s="244">
        <v>178697.81000000003</v>
      </c>
      <c r="L111" s="122">
        <f t="shared" si="12"/>
        <v>46302.189999999973</v>
      </c>
      <c r="M111" s="132">
        <f>K111/$K$114</f>
        <v>3.7421258775060293E-2</v>
      </c>
      <c r="O111" s="149"/>
    </row>
    <row r="112" spans="1:15">
      <c r="A112" s="61">
        <v>472</v>
      </c>
      <c r="B112" s="62" t="s">
        <v>118</v>
      </c>
      <c r="C112" s="99">
        <v>4000</v>
      </c>
      <c r="D112" s="76"/>
      <c r="E112" s="76"/>
      <c r="F112" s="76"/>
      <c r="G112" s="76"/>
      <c r="H112" s="76"/>
      <c r="I112" s="76"/>
      <c r="J112" s="76">
        <f t="shared" si="11"/>
        <v>4000</v>
      </c>
      <c r="K112" s="244">
        <v>2089.9</v>
      </c>
      <c r="L112" s="122">
        <f t="shared" si="12"/>
        <v>1910.1</v>
      </c>
      <c r="M112" s="132">
        <f>K112/$K$114</f>
        <v>4.3764771775321975E-4</v>
      </c>
      <c r="O112" s="149"/>
    </row>
    <row r="113" spans="1:13" ht="20.25" customHeight="1" thickBot="1">
      <c r="A113" s="56"/>
      <c r="B113" s="160"/>
      <c r="C113" s="229"/>
      <c r="D113" s="76"/>
      <c r="E113" s="76"/>
      <c r="F113" s="101"/>
      <c r="G113" s="101"/>
      <c r="H113" s="101"/>
      <c r="I113" s="101"/>
      <c r="J113" s="52"/>
      <c r="K113" s="249"/>
      <c r="L113" s="125"/>
      <c r="M113" s="132"/>
    </row>
    <row r="114" spans="1:13" ht="20.25" customHeight="1" thickBot="1">
      <c r="A114" s="162"/>
      <c r="B114" s="19" t="s">
        <v>7</v>
      </c>
      <c r="C114" s="63">
        <f>SUM(C23:C113)</f>
        <v>6176079.2063746657</v>
      </c>
      <c r="D114" s="11">
        <f>SUM(D23:D113)</f>
        <v>833550</v>
      </c>
      <c r="E114" s="11">
        <f>SUM(E23:E113)</f>
        <v>833550</v>
      </c>
      <c r="F114" s="11">
        <f t="shared" ref="F114:L114" si="13">SUM(F23:F113)</f>
        <v>776500</v>
      </c>
      <c r="G114" s="11">
        <f t="shared" si="13"/>
        <v>776500</v>
      </c>
      <c r="H114" s="11">
        <f t="shared" si="13"/>
        <v>121750</v>
      </c>
      <c r="I114" s="11">
        <f t="shared" si="13"/>
        <v>121750</v>
      </c>
      <c r="J114" s="11">
        <f t="shared" si="13"/>
        <v>6176079.2063746676</v>
      </c>
      <c r="K114" s="250">
        <f>ROUND((SUM(K23:K113)),2)</f>
        <v>4775301.95</v>
      </c>
      <c r="L114" s="11">
        <f t="shared" si="13"/>
        <v>1400777.2563746665</v>
      </c>
      <c r="M114" s="163">
        <f>K114/K114</f>
        <v>1</v>
      </c>
    </row>
    <row r="115" spans="1:13" ht="20.25" customHeight="1">
      <c r="A115" s="164"/>
      <c r="B115" s="36"/>
      <c r="C115" s="64"/>
      <c r="D115" s="37"/>
      <c r="E115" s="37"/>
      <c r="F115" s="37"/>
      <c r="G115" s="64"/>
      <c r="H115" s="64"/>
      <c r="I115" s="37"/>
      <c r="J115" s="37"/>
      <c r="K115" s="251"/>
      <c r="L115" s="37"/>
      <c r="M115" s="39"/>
    </row>
    <row r="116" spans="1:13" ht="20.25" customHeight="1" thickBot="1">
      <c r="A116" s="164"/>
      <c r="B116" s="36"/>
      <c r="C116" s="64"/>
      <c r="D116" s="37"/>
      <c r="E116" s="37"/>
      <c r="F116" s="37"/>
      <c r="G116" s="37"/>
      <c r="H116" s="37"/>
      <c r="I116" s="37"/>
      <c r="J116" s="37"/>
      <c r="K116" s="251"/>
      <c r="L116" s="37"/>
      <c r="M116" s="39"/>
    </row>
    <row r="117" spans="1:13" s="35" customFormat="1">
      <c r="A117" s="81" t="s">
        <v>8</v>
      </c>
      <c r="B117" s="81"/>
      <c r="C117" s="230"/>
      <c r="D117" s="32"/>
      <c r="E117" s="32"/>
      <c r="F117" s="96"/>
      <c r="G117" s="96"/>
      <c r="H117" s="96"/>
      <c r="I117" s="96"/>
      <c r="J117" s="42"/>
      <c r="K117" s="252"/>
      <c r="L117" s="33"/>
      <c r="M117" s="34"/>
    </row>
    <row r="118" spans="1:13" s="35" customFormat="1">
      <c r="A118" s="84" t="s">
        <v>0</v>
      </c>
      <c r="B118" s="84"/>
      <c r="C118" s="231"/>
      <c r="D118" s="32"/>
      <c r="E118" s="32"/>
      <c r="F118" s="96"/>
      <c r="G118" s="96"/>
      <c r="H118" s="96"/>
      <c r="I118" s="96"/>
      <c r="J118" s="42"/>
      <c r="K118" s="252"/>
      <c r="L118" s="33"/>
      <c r="M118" s="34"/>
    </row>
    <row r="119" spans="1:13" s="35" customFormat="1" ht="12" customHeight="1" thickBot="1">
      <c r="A119" s="84"/>
      <c r="B119" s="84"/>
      <c r="C119" s="231"/>
      <c r="D119" s="32"/>
      <c r="E119" s="32"/>
      <c r="F119" s="96"/>
      <c r="G119" s="96"/>
      <c r="H119" s="96"/>
      <c r="I119" s="96"/>
      <c r="J119" s="42"/>
      <c r="K119" s="252"/>
      <c r="L119" s="33"/>
      <c r="M119" s="34"/>
    </row>
    <row r="120" spans="1:13" s="35" customFormat="1">
      <c r="A120" s="90" t="s">
        <v>121</v>
      </c>
      <c r="B120" s="85"/>
      <c r="C120" s="238"/>
      <c r="D120" s="32"/>
      <c r="E120" s="32"/>
      <c r="G120" s="96"/>
      <c r="H120" s="96"/>
      <c r="I120" s="96"/>
      <c r="J120" s="42"/>
      <c r="K120" s="252"/>
      <c r="L120" s="33"/>
      <c r="M120" s="34"/>
    </row>
    <row r="121" spans="1:13" s="35" customFormat="1">
      <c r="A121" s="91" t="s">
        <v>131</v>
      </c>
      <c r="B121" s="83"/>
      <c r="C121" s="168">
        <v>1077959.21</v>
      </c>
      <c r="D121" s="32"/>
      <c r="E121" s="169"/>
      <c r="G121" s="96"/>
      <c r="H121" s="96"/>
      <c r="I121" s="96"/>
      <c r="J121" s="42"/>
      <c r="K121" s="252"/>
      <c r="L121" s="33"/>
      <c r="M121" s="34"/>
    </row>
    <row r="122" spans="1:13" s="35" customFormat="1">
      <c r="A122" s="91" t="s">
        <v>81</v>
      </c>
      <c r="B122" s="83"/>
      <c r="C122" s="168">
        <f>K19</f>
        <v>4067520.55</v>
      </c>
      <c r="D122" s="32"/>
      <c r="E122" s="169"/>
      <c r="G122" s="96"/>
      <c r="H122" s="96"/>
      <c r="I122" s="220"/>
      <c r="J122" s="42"/>
      <c r="K122" s="252"/>
      <c r="L122" s="33"/>
      <c r="M122" s="34"/>
    </row>
    <row r="123" spans="1:13" s="35" customFormat="1">
      <c r="A123" s="91" t="s">
        <v>94</v>
      </c>
      <c r="B123" s="83"/>
      <c r="C123" s="109">
        <f>-K114</f>
        <v>-4775301.95</v>
      </c>
      <c r="D123" s="32"/>
      <c r="E123" s="169"/>
      <c r="G123" s="96"/>
      <c r="H123" s="96"/>
      <c r="I123" s="96"/>
      <c r="J123" s="42"/>
      <c r="K123" s="252"/>
      <c r="L123" s="33"/>
      <c r="M123" s="34"/>
    </row>
    <row r="124" spans="1:13" s="35" customFormat="1" ht="18" customHeight="1">
      <c r="A124" s="93" t="s">
        <v>120</v>
      </c>
      <c r="B124" s="83"/>
      <c r="C124" s="255">
        <f>SUM(C121:C123)</f>
        <v>370177.80999999959</v>
      </c>
      <c r="D124" s="171"/>
      <c r="E124" s="169"/>
      <c r="G124" s="96"/>
      <c r="H124" s="96"/>
      <c r="I124" s="96"/>
      <c r="J124" s="42"/>
      <c r="K124" s="252"/>
      <c r="L124" s="33"/>
      <c r="M124" s="34"/>
    </row>
    <row r="125" spans="1:13" s="35" customFormat="1" ht="5.0999999999999996" customHeight="1">
      <c r="A125" s="91"/>
      <c r="B125" s="83"/>
      <c r="C125" s="168"/>
      <c r="D125" s="32"/>
      <c r="E125" s="32"/>
      <c r="G125" s="118"/>
      <c r="H125" s="118"/>
      <c r="I125" s="96"/>
      <c r="J125" s="42"/>
      <c r="K125" s="252"/>
      <c r="L125" s="33"/>
      <c r="M125" s="34"/>
    </row>
    <row r="126" spans="1:13" s="35" customFormat="1" ht="5.0999999999999996" customHeight="1">
      <c r="A126" s="91"/>
      <c r="B126" s="83"/>
      <c r="C126" s="109"/>
      <c r="D126" s="32"/>
      <c r="E126" s="32"/>
      <c r="G126" s="96"/>
      <c r="H126" s="96"/>
      <c r="I126" s="96"/>
      <c r="J126" s="42"/>
      <c r="K126" s="252"/>
      <c r="L126" s="33"/>
      <c r="M126" s="34"/>
    </row>
    <row r="127" spans="1:13" s="35" customFormat="1" ht="6.95" customHeight="1">
      <c r="A127" s="91"/>
      <c r="B127" s="83"/>
      <c r="C127" s="168"/>
      <c r="D127" s="32"/>
      <c r="E127" s="32"/>
      <c r="G127" s="96"/>
      <c r="H127" s="96"/>
      <c r="I127" s="96"/>
      <c r="J127" s="42"/>
      <c r="K127" s="252"/>
      <c r="L127" s="33"/>
      <c r="M127" s="34"/>
    </row>
    <row r="128" spans="1:13" s="35" customFormat="1">
      <c r="A128" s="93" t="s">
        <v>183</v>
      </c>
      <c r="B128" s="88"/>
      <c r="C128" s="109">
        <f>C124+C125</f>
        <v>370177.80999999959</v>
      </c>
      <c r="D128" s="174"/>
      <c r="G128" s="96"/>
      <c r="H128" s="96"/>
      <c r="I128" s="96"/>
      <c r="J128" s="42"/>
      <c r="K128" s="252"/>
      <c r="L128" s="33"/>
      <c r="M128" s="34"/>
    </row>
    <row r="129" spans="1:13" s="35" customFormat="1" ht="6.95" customHeight="1" thickBot="1">
      <c r="A129" s="94"/>
      <c r="B129" s="87"/>
      <c r="C129" s="239"/>
      <c r="D129" s="174"/>
      <c r="G129" s="96"/>
      <c r="H129" s="96"/>
      <c r="I129" s="96"/>
      <c r="J129" s="42"/>
      <c r="K129" s="252"/>
      <c r="L129" s="33"/>
      <c r="M129" s="34"/>
    </row>
    <row r="130" spans="1:13">
      <c r="A130" s="43"/>
      <c r="C130" s="240"/>
      <c r="D130" s="174"/>
      <c r="G130" s="102"/>
      <c r="H130" s="102"/>
      <c r="I130" s="102"/>
      <c r="J130" s="102"/>
      <c r="L130" s="102"/>
      <c r="M130" s="102"/>
    </row>
    <row r="131" spans="1:13">
      <c r="A131" s="43"/>
      <c r="B131" s="43"/>
      <c r="C131" s="241"/>
      <c r="D131" s="174"/>
      <c r="G131" s="102"/>
      <c r="H131" s="102"/>
      <c r="I131" s="102"/>
      <c r="J131" s="102"/>
      <c r="L131" s="102"/>
      <c r="M131" s="102"/>
    </row>
    <row r="132" spans="1:13">
      <c r="A132" s="36"/>
      <c r="B132" s="178" t="s">
        <v>184</v>
      </c>
      <c r="C132" s="242"/>
      <c r="D132" s="174"/>
      <c r="E132" s="95"/>
      <c r="G132" s="102"/>
      <c r="H132" s="102"/>
      <c r="J132" s="102"/>
      <c r="L132" s="102"/>
      <c r="M132" s="102"/>
    </row>
    <row r="133" spans="1:13">
      <c r="A133" s="36"/>
      <c r="B133" s="43"/>
      <c r="C133" s="232"/>
      <c r="D133" s="174"/>
      <c r="E133" s="102"/>
      <c r="F133" s="102"/>
      <c r="G133" s="102"/>
      <c r="H133" s="102"/>
      <c r="I133" s="102"/>
      <c r="J133" s="102"/>
      <c r="L133" s="102"/>
      <c r="M133" s="102"/>
    </row>
    <row r="134" spans="1:13">
      <c r="A134" s="36"/>
      <c r="B134" s="43"/>
      <c r="C134" s="232"/>
      <c r="D134" s="174"/>
      <c r="E134" s="102"/>
      <c r="F134" s="102"/>
      <c r="G134" s="102"/>
      <c r="H134" s="102"/>
      <c r="I134" s="102"/>
      <c r="J134" s="102"/>
      <c r="L134" s="102"/>
      <c r="M134" s="102"/>
    </row>
    <row r="135" spans="1:13">
      <c r="A135" s="36"/>
      <c r="B135" s="43"/>
      <c r="D135" s="174"/>
      <c r="E135" s="102"/>
      <c r="F135" s="102"/>
      <c r="G135" s="102"/>
      <c r="H135" s="102"/>
      <c r="I135" s="102"/>
      <c r="J135" s="102"/>
      <c r="L135" s="102"/>
      <c r="M135" s="102"/>
    </row>
    <row r="136" spans="1:13">
      <c r="A136" s="36"/>
      <c r="B136" s="43"/>
      <c r="E136" s="102"/>
      <c r="F136" s="102"/>
      <c r="G136" s="102"/>
      <c r="H136" s="102"/>
      <c r="I136" s="102"/>
      <c r="J136" s="102"/>
      <c r="L136" s="102"/>
      <c r="M136" s="102"/>
    </row>
    <row r="137" spans="1:13">
      <c r="A137" s="164"/>
      <c r="B137" s="43"/>
      <c r="C137" s="234"/>
      <c r="D137" s="42"/>
      <c r="E137" s="95"/>
      <c r="F137" s="95"/>
      <c r="G137" s="102"/>
      <c r="H137" s="102"/>
      <c r="I137" s="102"/>
      <c r="J137" s="102"/>
      <c r="L137" s="102"/>
      <c r="M137" s="102"/>
    </row>
    <row r="138" spans="1:13">
      <c r="A138" s="164"/>
      <c r="B138" s="102"/>
      <c r="C138" s="235"/>
      <c r="D138" s="102"/>
      <c r="E138" s="95"/>
      <c r="F138" s="95"/>
      <c r="G138" s="102"/>
      <c r="H138" s="102"/>
      <c r="I138" s="102"/>
      <c r="J138" s="102"/>
      <c r="L138" s="102"/>
      <c r="M138" s="102"/>
    </row>
    <row r="139" spans="1:13" ht="18.75">
      <c r="A139" s="164"/>
      <c r="B139" s="103" t="s">
        <v>152</v>
      </c>
      <c r="C139" s="236" t="s">
        <v>153</v>
      </c>
      <c r="E139" s="103"/>
      <c r="F139" s="103"/>
      <c r="G139" s="182" t="s">
        <v>156</v>
      </c>
      <c r="H139" s="182"/>
      <c r="K139" s="254"/>
      <c r="L139" s="126"/>
      <c r="M139" s="103"/>
    </row>
    <row r="140" spans="1:13" ht="18.75">
      <c r="A140" s="164"/>
      <c r="B140" s="183" t="s">
        <v>154</v>
      </c>
      <c r="C140" s="237" t="s">
        <v>155</v>
      </c>
      <c r="E140" s="104"/>
      <c r="F140" s="145"/>
      <c r="G140" s="184" t="s">
        <v>148</v>
      </c>
      <c r="H140" s="184"/>
      <c r="K140" s="254"/>
      <c r="L140" s="104"/>
      <c r="M140" s="104"/>
    </row>
    <row r="141" spans="1:13" ht="18.75">
      <c r="A141" s="164"/>
      <c r="B141" s="104"/>
      <c r="D141" s="126"/>
      <c r="E141" s="104"/>
      <c r="F141" s="104"/>
      <c r="G141" s="104"/>
      <c r="H141" s="104"/>
      <c r="I141" s="104"/>
      <c r="J141" s="185"/>
      <c r="K141" s="254"/>
      <c r="L141" s="104"/>
      <c r="M141" s="104"/>
    </row>
    <row r="142" spans="1:13" ht="18.75">
      <c r="A142" s="164"/>
      <c r="B142" s="104"/>
      <c r="D142" s="104"/>
      <c r="F142" s="104"/>
      <c r="G142" s="104"/>
      <c r="H142" s="104"/>
      <c r="I142" s="104"/>
      <c r="J142" s="104"/>
      <c r="K142" s="254"/>
      <c r="M142" s="104"/>
    </row>
  </sheetData>
  <mergeCells count="3">
    <mergeCell ref="A6:A7"/>
    <mergeCell ref="B6:B7"/>
    <mergeCell ref="K6:K7"/>
  </mergeCells>
  <printOptions horizontalCentered="1"/>
  <pageMargins left="0" right="0" top="0.78740157480314965" bottom="0.98425196850393704" header="0.31496062992125984" footer="0.31496062992125984"/>
  <pageSetup scale="55" orientation="landscape" horizontalDpi="4294967293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2"/>
  <sheetViews>
    <sheetView showGridLines="0" zoomScale="75" zoomScaleNormal="75" workbookViewId="0">
      <selection activeCell="E124" sqref="E124"/>
    </sheetView>
  </sheetViews>
  <sheetFormatPr baseColWidth="10" defaultColWidth="11.42578125" defaultRowHeight="18"/>
  <cols>
    <col min="1" max="1" width="10.7109375" style="5" customWidth="1"/>
    <col min="2" max="2" width="64.7109375" style="5" customWidth="1"/>
    <col min="3" max="3" width="19.28515625" style="233" customWidth="1"/>
    <col min="4" max="9" width="16.42578125" style="5" customWidth="1"/>
    <col min="10" max="10" width="19.28515625" style="5" customWidth="1"/>
    <col min="11" max="11" width="19.28515625" style="253" customWidth="1"/>
    <col min="12" max="12" width="19.28515625" style="5" customWidth="1"/>
    <col min="13" max="13" width="12.7109375" style="5" customWidth="1"/>
    <col min="14" max="14" width="7" style="5" customWidth="1"/>
    <col min="15" max="15" width="19.5703125" style="5" bestFit="1" customWidth="1"/>
    <col min="16" max="16" width="15.42578125" style="5" bestFit="1" customWidth="1"/>
    <col min="17" max="16384" width="11.42578125" style="5"/>
  </cols>
  <sheetData>
    <row r="1" spans="1:15">
      <c r="A1" s="97" t="s">
        <v>39</v>
      </c>
      <c r="B1" s="97"/>
      <c r="C1" s="224"/>
      <c r="D1" s="97"/>
      <c r="E1" s="97"/>
      <c r="F1" s="97"/>
      <c r="G1" s="97"/>
      <c r="H1" s="97"/>
      <c r="I1" s="97"/>
      <c r="J1" s="97"/>
      <c r="K1" s="243"/>
      <c r="L1" s="97"/>
      <c r="M1" s="97"/>
    </row>
    <row r="2" spans="1:15">
      <c r="A2" s="97" t="s">
        <v>119</v>
      </c>
      <c r="B2" s="97"/>
      <c r="C2" s="224"/>
      <c r="D2" s="97"/>
      <c r="E2" s="97"/>
      <c r="F2" s="97"/>
      <c r="G2" s="97"/>
      <c r="H2" s="97"/>
      <c r="I2" s="97"/>
      <c r="J2" s="97"/>
      <c r="K2" s="243"/>
      <c r="L2" s="97"/>
      <c r="M2" s="97"/>
    </row>
    <row r="3" spans="1:15">
      <c r="A3" s="97" t="s">
        <v>185</v>
      </c>
      <c r="B3" s="97"/>
      <c r="C3" s="224"/>
      <c r="D3" s="97"/>
      <c r="E3" s="97"/>
      <c r="F3" s="97"/>
      <c r="G3" s="97"/>
      <c r="H3" s="97"/>
      <c r="I3" s="97"/>
      <c r="J3" s="97"/>
      <c r="K3" s="243"/>
      <c r="L3" s="97"/>
      <c r="M3" s="97"/>
    </row>
    <row r="4" spans="1:15" ht="17.850000000000001" customHeight="1">
      <c r="A4" s="97" t="s">
        <v>0</v>
      </c>
      <c r="B4" s="97"/>
      <c r="C4" s="224"/>
      <c r="D4" s="97"/>
      <c r="E4" s="97"/>
      <c r="F4" s="97"/>
      <c r="G4" s="97"/>
      <c r="H4" s="97"/>
      <c r="I4" s="97"/>
      <c r="J4" s="97"/>
      <c r="K4" s="243"/>
      <c r="L4" s="97"/>
      <c r="M4" s="97"/>
    </row>
    <row r="5" spans="1:15" ht="17.850000000000001" customHeight="1" thickBot="1">
      <c r="A5" s="97"/>
      <c r="B5" s="97"/>
      <c r="C5" s="224"/>
      <c r="D5" s="97"/>
      <c r="E5" s="97"/>
      <c r="F5" s="97"/>
      <c r="G5" s="97"/>
      <c r="H5" s="97"/>
      <c r="I5" s="97"/>
      <c r="J5" s="97"/>
      <c r="K5" s="243"/>
      <c r="L5" s="97"/>
      <c r="M5" s="97"/>
    </row>
    <row r="6" spans="1:15" ht="18.75" thickBot="1">
      <c r="A6" s="260" t="s">
        <v>5</v>
      </c>
      <c r="B6" s="262" t="s">
        <v>40</v>
      </c>
      <c r="C6" s="225" t="s">
        <v>1</v>
      </c>
      <c r="D6" s="256" t="s">
        <v>171</v>
      </c>
      <c r="E6" s="256"/>
      <c r="F6" s="256" t="s">
        <v>191</v>
      </c>
      <c r="G6" s="256"/>
      <c r="H6" s="256" t="s">
        <v>192</v>
      </c>
      <c r="I6" s="256"/>
      <c r="J6" s="3" t="s">
        <v>1</v>
      </c>
      <c r="K6" s="267" t="s">
        <v>2</v>
      </c>
      <c r="L6" s="4" t="s">
        <v>29</v>
      </c>
      <c r="M6" s="3" t="s">
        <v>31</v>
      </c>
    </row>
    <row r="7" spans="1:15" ht="18.75" thickBot="1">
      <c r="A7" s="261"/>
      <c r="B7" s="263"/>
      <c r="C7" s="226" t="s">
        <v>3</v>
      </c>
      <c r="D7" s="7" t="s">
        <v>145</v>
      </c>
      <c r="E7" s="7" t="s">
        <v>146</v>
      </c>
      <c r="F7" s="7" t="s">
        <v>145</v>
      </c>
      <c r="G7" s="7" t="s">
        <v>146</v>
      </c>
      <c r="H7" s="7" t="s">
        <v>145</v>
      </c>
      <c r="I7" s="7" t="s">
        <v>146</v>
      </c>
      <c r="J7" s="6" t="s">
        <v>4</v>
      </c>
      <c r="K7" s="268"/>
      <c r="L7" s="8" t="s">
        <v>30</v>
      </c>
      <c r="M7" s="9" t="s">
        <v>32</v>
      </c>
    </row>
    <row r="8" spans="1:15">
      <c r="A8" s="69"/>
      <c r="B8" s="71" t="s">
        <v>116</v>
      </c>
      <c r="C8" s="99"/>
      <c r="D8" s="98"/>
      <c r="E8" s="98"/>
      <c r="F8" s="98"/>
      <c r="G8" s="98"/>
      <c r="H8" s="98"/>
      <c r="I8" s="98"/>
      <c r="J8" s="98"/>
      <c r="K8" s="244"/>
      <c r="L8" s="203"/>
      <c r="M8" s="98"/>
    </row>
    <row r="9" spans="1:15">
      <c r="A9" s="222"/>
      <c r="B9" s="223"/>
      <c r="C9" s="99"/>
      <c r="D9" s="98"/>
      <c r="E9" s="98"/>
      <c r="F9" s="98"/>
      <c r="G9" s="98"/>
      <c r="H9" s="98"/>
      <c r="I9" s="98"/>
      <c r="J9" s="98"/>
      <c r="K9" s="244"/>
      <c r="L9" s="203"/>
      <c r="M9" s="98"/>
    </row>
    <row r="10" spans="1:15">
      <c r="A10" s="60"/>
      <c r="B10" s="70" t="s">
        <v>117</v>
      </c>
      <c r="C10" s="227">
        <v>1077959.21</v>
      </c>
      <c r="D10" s="54"/>
      <c r="E10" s="52"/>
      <c r="F10" s="54"/>
      <c r="G10" s="54"/>
      <c r="H10" s="54"/>
      <c r="I10" s="54"/>
      <c r="J10" s="76">
        <f t="shared" ref="J10:J18" si="0">C10+D10-E10+F10-G10+H10-I10</f>
        <v>1077959.21</v>
      </c>
      <c r="K10" s="122"/>
      <c r="L10" s="203">
        <f t="shared" ref="L10:L17" si="1">J10-K10+I10</f>
        <v>1077959.21</v>
      </c>
      <c r="M10" s="146">
        <f>K10/K19</f>
        <v>0</v>
      </c>
    </row>
    <row r="11" spans="1:15">
      <c r="A11" s="60" t="s">
        <v>27</v>
      </c>
      <c r="B11" s="54" t="s">
        <v>54</v>
      </c>
      <c r="C11" s="227">
        <f>12500+60000+1000</f>
        <v>73500</v>
      </c>
      <c r="D11" s="52"/>
      <c r="E11" s="52"/>
      <c r="F11" s="52"/>
      <c r="G11" s="52"/>
      <c r="H11" s="52"/>
      <c r="I11" s="52"/>
      <c r="J11" s="76">
        <f t="shared" si="0"/>
        <v>73500</v>
      </c>
      <c r="K11" s="122">
        <f>74597+2295+20427+2295+16154+14527+540+7765+700</f>
        <v>139300</v>
      </c>
      <c r="L11" s="189">
        <f t="shared" si="1"/>
        <v>-65800</v>
      </c>
      <c r="M11" s="146">
        <f>K11/K19</f>
        <v>3.1868704998494507E-2</v>
      </c>
      <c r="O11" s="147"/>
    </row>
    <row r="12" spans="1:15">
      <c r="A12" s="148" t="s">
        <v>95</v>
      </c>
      <c r="B12" s="54" t="s">
        <v>96</v>
      </c>
      <c r="C12" s="227">
        <v>4000</v>
      </c>
      <c r="D12" s="52"/>
      <c r="E12" s="52"/>
      <c r="F12" s="52"/>
      <c r="G12" s="52"/>
      <c r="H12" s="52"/>
      <c r="I12" s="52"/>
      <c r="J12" s="76">
        <f t="shared" si="0"/>
        <v>4000</v>
      </c>
      <c r="K12" s="122">
        <f>1854.82+78.84+68.4+42.84+48.3</f>
        <v>2093.1999999999998</v>
      </c>
      <c r="L12" s="189">
        <f t="shared" si="1"/>
        <v>1906.8000000000002</v>
      </c>
      <c r="M12" s="146">
        <f>K12/K19</f>
        <v>4.7887705170745652E-4</v>
      </c>
      <c r="O12" s="147"/>
    </row>
    <row r="13" spans="1:15">
      <c r="A13" s="60" t="s">
        <v>97</v>
      </c>
      <c r="B13" s="54" t="s">
        <v>133</v>
      </c>
      <c r="C13" s="227">
        <v>3172620</v>
      </c>
      <c r="D13" s="52"/>
      <c r="E13" s="52"/>
      <c r="F13" s="52"/>
      <c r="G13" s="52"/>
      <c r="H13" s="52"/>
      <c r="I13" s="52"/>
      <c r="J13" s="76">
        <f t="shared" si="0"/>
        <v>3172620</v>
      </c>
      <c r="K13" s="122">
        <f>1049646.93+201855.31+0.02+321134.75+74623.9+159039.16+157812.93</f>
        <v>1964112.9999999998</v>
      </c>
      <c r="L13" s="189">
        <f t="shared" si="1"/>
        <v>1208507.0000000002</v>
      </c>
      <c r="M13" s="146">
        <f>K13/K19</f>
        <v>0.4493448512613642</v>
      </c>
      <c r="O13" s="149"/>
    </row>
    <row r="14" spans="1:15">
      <c r="A14" s="60" t="s">
        <v>97</v>
      </c>
      <c r="B14" s="54" t="s">
        <v>134</v>
      </c>
      <c r="C14" s="227">
        <v>1828000</v>
      </c>
      <c r="D14" s="52"/>
      <c r="E14" s="52"/>
      <c r="F14" s="202"/>
      <c r="G14" s="52"/>
      <c r="H14" s="52"/>
      <c r="I14" s="52"/>
      <c r="J14" s="76">
        <f t="shared" si="0"/>
        <v>1828000</v>
      </c>
      <c r="K14" s="122">
        <f>1537761.06+326014.9+109987.16+73961.54+67125.92+136672.54</f>
        <v>2251523.12</v>
      </c>
      <c r="L14" s="189">
        <f t="shared" si="1"/>
        <v>-423523.12000000011</v>
      </c>
      <c r="M14" s="146">
        <f>K14/K19</f>
        <v>0.51509781843912383</v>
      </c>
    </row>
    <row r="15" spans="1:15">
      <c r="A15" s="60" t="s">
        <v>97</v>
      </c>
      <c r="B15" s="54" t="s">
        <v>99</v>
      </c>
      <c r="C15" s="227">
        <v>20000</v>
      </c>
      <c r="D15" s="52"/>
      <c r="E15" s="52"/>
      <c r="F15" s="52"/>
      <c r="G15" s="52"/>
      <c r="H15" s="52"/>
      <c r="I15" s="52"/>
      <c r="J15" s="76">
        <f t="shared" si="0"/>
        <v>20000</v>
      </c>
      <c r="K15" s="122">
        <v>14030</v>
      </c>
      <c r="L15" s="203">
        <f>J15-K15+I15</f>
        <v>5970</v>
      </c>
      <c r="M15" s="146">
        <v>0</v>
      </c>
    </row>
    <row r="16" spans="1:15">
      <c r="A16" s="60" t="s">
        <v>97</v>
      </c>
      <c r="B16" s="54" t="s">
        <v>144</v>
      </c>
      <c r="C16" s="227">
        <v>0</v>
      </c>
      <c r="D16" s="52"/>
      <c r="E16" s="52"/>
      <c r="F16" s="52"/>
      <c r="G16" s="52"/>
      <c r="H16" s="52"/>
      <c r="I16" s="52"/>
      <c r="J16" s="76">
        <f t="shared" si="0"/>
        <v>0</v>
      </c>
      <c r="K16" s="122">
        <v>0</v>
      </c>
      <c r="L16" s="203">
        <f t="shared" si="1"/>
        <v>0</v>
      </c>
      <c r="M16" s="146">
        <v>0</v>
      </c>
    </row>
    <row r="17" spans="1:15">
      <c r="A17" s="60" t="s">
        <v>97</v>
      </c>
      <c r="B17" s="54" t="s">
        <v>98</v>
      </c>
      <c r="C17" s="227">
        <v>0</v>
      </c>
      <c r="D17" s="52"/>
      <c r="E17" s="52"/>
      <c r="F17" s="52"/>
      <c r="G17" s="52"/>
      <c r="H17" s="52"/>
      <c r="I17" s="52"/>
      <c r="J17" s="76">
        <f t="shared" si="0"/>
        <v>0</v>
      </c>
      <c r="K17" s="122">
        <v>0</v>
      </c>
      <c r="L17" s="203">
        <f t="shared" si="1"/>
        <v>0</v>
      </c>
      <c r="M17" s="146">
        <v>0</v>
      </c>
    </row>
    <row r="18" spans="1:15" ht="18.75" thickBot="1">
      <c r="A18" s="150"/>
      <c r="B18" s="151"/>
      <c r="C18" s="228">
        <v>0</v>
      </c>
      <c r="D18" s="128"/>
      <c r="E18" s="128"/>
      <c r="F18" s="128"/>
      <c r="G18" s="128"/>
      <c r="H18" s="128"/>
      <c r="I18" s="128"/>
      <c r="J18" s="76">
        <f t="shared" si="0"/>
        <v>0</v>
      </c>
      <c r="K18" s="122">
        <v>0</v>
      </c>
      <c r="L18" s="204">
        <f>-K18+I18</f>
        <v>0</v>
      </c>
      <c r="M18" s="152">
        <f>K18/K19</f>
        <v>0</v>
      </c>
      <c r="O18" s="42"/>
    </row>
    <row r="19" spans="1:15" ht="18.75" customHeight="1" thickBot="1">
      <c r="A19" s="68"/>
      <c r="B19" s="67" t="s">
        <v>6</v>
      </c>
      <c r="C19" s="63">
        <f t="shared" ref="C19:J19" si="2">SUM(C10:C18)</f>
        <v>6176079.21</v>
      </c>
      <c r="D19" s="63">
        <f t="shared" si="2"/>
        <v>0</v>
      </c>
      <c r="E19" s="63">
        <f t="shared" si="2"/>
        <v>0</v>
      </c>
      <c r="F19" s="63">
        <f t="shared" si="2"/>
        <v>0</v>
      </c>
      <c r="G19" s="63">
        <f t="shared" si="2"/>
        <v>0</v>
      </c>
      <c r="H19" s="63"/>
      <c r="I19" s="63">
        <f t="shared" si="2"/>
        <v>0</v>
      </c>
      <c r="J19" s="11">
        <f t="shared" si="2"/>
        <v>6176079.21</v>
      </c>
      <c r="K19" s="246">
        <f>ROUND((SUM(K10:K18)),2)</f>
        <v>4371059.32</v>
      </c>
      <c r="L19" s="11">
        <f>SUM(L10:L18)</f>
        <v>1805019.8900000001</v>
      </c>
      <c r="M19" s="12">
        <f>SUM(M18:M18)</f>
        <v>0</v>
      </c>
    </row>
    <row r="20" spans="1:15">
      <c r="A20" s="141"/>
      <c r="B20" s="142"/>
      <c r="C20" s="229"/>
      <c r="D20" s="157"/>
      <c r="E20" s="98"/>
      <c r="F20" s="98"/>
      <c r="G20" s="98"/>
      <c r="H20" s="98"/>
      <c r="I20" s="98"/>
      <c r="J20" s="98"/>
      <c r="K20" s="247"/>
      <c r="L20" s="98"/>
      <c r="M20" s="98"/>
    </row>
    <row r="21" spans="1:15">
      <c r="A21" s="222" t="s">
        <v>5</v>
      </c>
      <c r="B21" s="223" t="s">
        <v>115</v>
      </c>
      <c r="C21" s="99"/>
      <c r="D21" s="98"/>
      <c r="E21" s="98"/>
      <c r="F21" s="98"/>
      <c r="G21" s="98"/>
      <c r="H21" s="98"/>
      <c r="I21" s="98"/>
      <c r="J21" s="98"/>
      <c r="K21" s="247"/>
      <c r="L21" s="98"/>
      <c r="M21" s="98"/>
    </row>
    <row r="22" spans="1:15">
      <c r="A22" s="222"/>
      <c r="B22" s="223"/>
      <c r="C22" s="99"/>
      <c r="D22" s="98"/>
      <c r="E22" s="98"/>
      <c r="F22" s="98"/>
      <c r="G22" s="98"/>
      <c r="H22" s="98"/>
      <c r="I22" s="98"/>
      <c r="J22" s="98"/>
      <c r="K22" s="247"/>
      <c r="L22" s="98"/>
      <c r="M22" s="98"/>
    </row>
    <row r="23" spans="1:15">
      <c r="A23" s="59">
        <v>0</v>
      </c>
      <c r="B23" s="59" t="s">
        <v>9</v>
      </c>
      <c r="C23" s="99"/>
      <c r="D23" s="76"/>
      <c r="E23" s="76"/>
      <c r="F23" s="76"/>
      <c r="G23" s="76"/>
      <c r="H23" s="76"/>
      <c r="I23" s="76"/>
      <c r="J23" s="76"/>
      <c r="K23" s="244"/>
      <c r="L23" s="122"/>
      <c r="M23" s="132"/>
    </row>
    <row r="24" spans="1:15">
      <c r="A24" s="53" t="s">
        <v>14</v>
      </c>
      <c r="B24" s="54" t="s">
        <v>84</v>
      </c>
      <c r="C24" s="99">
        <v>574724</v>
      </c>
      <c r="D24" s="76"/>
      <c r="E24" s="76"/>
      <c r="F24" s="76"/>
      <c r="G24" s="76"/>
      <c r="H24" s="76"/>
      <c r="I24" s="76"/>
      <c r="J24" s="76">
        <f t="shared" ref="J24:J70" si="3">C24+D24-E24+F24-G24+H24-I24</f>
        <v>574724</v>
      </c>
      <c r="K24" s="122">
        <v>457514.30999999994</v>
      </c>
      <c r="L24" s="122">
        <f>J24-K24</f>
        <v>117209.69000000006</v>
      </c>
      <c r="M24" s="132">
        <f t="shared" ref="M24:M35" si="4">K24/$K$114</f>
        <v>9.312177265678187E-2</v>
      </c>
      <c r="O24" s="149"/>
    </row>
    <row r="25" spans="1:15">
      <c r="A25" s="53" t="s">
        <v>34</v>
      </c>
      <c r="B25" s="54" t="s">
        <v>35</v>
      </c>
      <c r="C25" s="99">
        <v>4500</v>
      </c>
      <c r="D25" s="76"/>
      <c r="E25" s="76"/>
      <c r="F25" s="76"/>
      <c r="G25" s="76"/>
      <c r="H25" s="76"/>
      <c r="I25" s="76"/>
      <c r="J25" s="76">
        <f t="shared" si="3"/>
        <v>4500</v>
      </c>
      <c r="K25" s="122">
        <v>4125</v>
      </c>
      <c r="L25" s="122">
        <f t="shared" ref="L25:L88" si="5">J25-K25</f>
        <v>375</v>
      </c>
      <c r="M25" s="132">
        <f t="shared" si="4"/>
        <v>8.3959627887753995E-4</v>
      </c>
      <c r="O25" s="149"/>
    </row>
    <row r="26" spans="1:15">
      <c r="A26" s="53" t="s">
        <v>15</v>
      </c>
      <c r="B26" s="54" t="s">
        <v>43</v>
      </c>
      <c r="C26" s="99">
        <v>62500</v>
      </c>
      <c r="D26" s="76">
        <v>36000</v>
      </c>
      <c r="E26" s="76"/>
      <c r="F26" s="76"/>
      <c r="G26" s="76"/>
      <c r="H26" s="76"/>
      <c r="I26" s="76"/>
      <c r="J26" s="76">
        <f t="shared" si="3"/>
        <v>98500</v>
      </c>
      <c r="K26" s="122">
        <v>72116.67</v>
      </c>
      <c r="L26" s="122">
        <f t="shared" si="5"/>
        <v>26383.33</v>
      </c>
      <c r="M26" s="132">
        <f t="shared" si="4"/>
        <v>1.4678518248979276E-2</v>
      </c>
      <c r="O26" s="149"/>
    </row>
    <row r="27" spans="1:15">
      <c r="A27" s="53" t="s">
        <v>135</v>
      </c>
      <c r="B27" s="54" t="s">
        <v>136</v>
      </c>
      <c r="C27" s="99">
        <v>357550</v>
      </c>
      <c r="D27" s="76"/>
      <c r="E27" s="76">
        <v>357550</v>
      </c>
      <c r="F27" s="76"/>
      <c r="G27" s="76"/>
      <c r="H27" s="76"/>
      <c r="I27" s="76"/>
      <c r="J27" s="76">
        <f t="shared" si="3"/>
        <v>0</v>
      </c>
      <c r="K27" s="122">
        <v>0</v>
      </c>
      <c r="L27" s="122">
        <f t="shared" si="5"/>
        <v>0</v>
      </c>
      <c r="M27" s="132">
        <f t="shared" si="4"/>
        <v>0</v>
      </c>
      <c r="O27" s="149"/>
    </row>
    <row r="28" spans="1:15">
      <c r="A28" s="53" t="s">
        <v>137</v>
      </c>
      <c r="B28" s="54" t="s">
        <v>138</v>
      </c>
      <c r="C28" s="99">
        <v>5750</v>
      </c>
      <c r="D28" s="76"/>
      <c r="E28" s="76"/>
      <c r="F28" s="76"/>
      <c r="G28" s="76"/>
      <c r="H28" s="76"/>
      <c r="I28" s="76"/>
      <c r="J28" s="76">
        <f t="shared" si="3"/>
        <v>5750</v>
      </c>
      <c r="K28" s="122">
        <v>0</v>
      </c>
      <c r="L28" s="122">
        <f t="shared" si="5"/>
        <v>5750</v>
      </c>
      <c r="M28" s="132">
        <f t="shared" si="4"/>
        <v>0</v>
      </c>
      <c r="O28" s="149"/>
    </row>
    <row r="29" spans="1:15">
      <c r="A29" s="53" t="s">
        <v>100</v>
      </c>
      <c r="B29" s="54" t="s">
        <v>101</v>
      </c>
      <c r="C29" s="99">
        <v>15400</v>
      </c>
      <c r="D29" s="76"/>
      <c r="E29" s="76"/>
      <c r="F29" s="76"/>
      <c r="G29" s="76"/>
      <c r="H29" s="76"/>
      <c r="I29" s="76"/>
      <c r="J29" s="76">
        <f t="shared" si="3"/>
        <v>15400</v>
      </c>
      <c r="K29" s="122">
        <v>7947.37</v>
      </c>
      <c r="L29" s="122">
        <f t="shared" si="5"/>
        <v>7452.63</v>
      </c>
      <c r="M29" s="132">
        <f t="shared" si="4"/>
        <v>1.6175957039667867E-3</v>
      </c>
      <c r="O29" s="149"/>
    </row>
    <row r="30" spans="1:15">
      <c r="A30" s="53" t="s">
        <v>21</v>
      </c>
      <c r="B30" s="54" t="s">
        <v>22</v>
      </c>
      <c r="C30" s="99">
        <v>37627.240000000005</v>
      </c>
      <c r="D30" s="76"/>
      <c r="E30" s="76"/>
      <c r="F30" s="76"/>
      <c r="G30" s="76"/>
      <c r="H30" s="76"/>
      <c r="I30" s="76"/>
      <c r="J30" s="76">
        <f t="shared" si="3"/>
        <v>37627.240000000005</v>
      </c>
      <c r="K30" s="122">
        <v>22597.520000000004</v>
      </c>
      <c r="L30" s="122">
        <f t="shared" si="5"/>
        <v>15029.720000000001</v>
      </c>
      <c r="M30" s="132">
        <f t="shared" si="4"/>
        <v>4.5994651403298888E-3</v>
      </c>
      <c r="O30" s="149"/>
    </row>
    <row r="31" spans="1:15">
      <c r="A31" s="53" t="s">
        <v>16</v>
      </c>
      <c r="B31" s="54" t="s">
        <v>125</v>
      </c>
      <c r="C31" s="99">
        <v>111250.887308</v>
      </c>
      <c r="D31" s="76"/>
      <c r="E31" s="76"/>
      <c r="F31" s="76"/>
      <c r="G31" s="76"/>
      <c r="H31" s="76"/>
      <c r="I31" s="76"/>
      <c r="J31" s="76">
        <f t="shared" si="3"/>
        <v>111250.887308</v>
      </c>
      <c r="K31" s="122">
        <v>46649.279999999999</v>
      </c>
      <c r="L31" s="122">
        <f t="shared" si="5"/>
        <v>64601.607308000006</v>
      </c>
      <c r="M31" s="132">
        <f t="shared" si="4"/>
        <v>9.4949240970464109E-3</v>
      </c>
      <c r="O31" s="149"/>
    </row>
    <row r="32" spans="1:15">
      <c r="A32" s="53" t="s">
        <v>17</v>
      </c>
      <c r="B32" s="54" t="s">
        <v>126</v>
      </c>
      <c r="C32" s="99">
        <v>10426.5124</v>
      </c>
      <c r="D32" s="76"/>
      <c r="E32" s="76"/>
      <c r="F32" s="76"/>
      <c r="G32" s="76"/>
      <c r="H32" s="76"/>
      <c r="I32" s="76"/>
      <c r="J32" s="76">
        <f t="shared" si="3"/>
        <v>10426.5124</v>
      </c>
      <c r="K32" s="122">
        <v>4372.0099999999993</v>
      </c>
      <c r="L32" s="122">
        <f t="shared" si="5"/>
        <v>6054.5024000000003</v>
      </c>
      <c r="M32" s="132">
        <f t="shared" si="4"/>
        <v>8.898723217491861E-4</v>
      </c>
      <c r="O32" s="149"/>
    </row>
    <row r="33" spans="1:15">
      <c r="A33" s="53" t="s">
        <v>18</v>
      </c>
      <c r="B33" s="55" t="s">
        <v>82</v>
      </c>
      <c r="C33" s="99">
        <v>78272.833333333328</v>
      </c>
      <c r="D33" s="76"/>
      <c r="E33" s="76"/>
      <c r="F33" s="76"/>
      <c r="G33" s="76"/>
      <c r="H33" s="76"/>
      <c r="I33" s="76"/>
      <c r="J33" s="76">
        <f t="shared" si="3"/>
        <v>78272.833333333328</v>
      </c>
      <c r="K33" s="122">
        <v>0</v>
      </c>
      <c r="L33" s="122">
        <f t="shared" si="5"/>
        <v>78272.833333333328</v>
      </c>
      <c r="M33" s="132">
        <f t="shared" si="4"/>
        <v>0</v>
      </c>
      <c r="O33" s="149"/>
    </row>
    <row r="34" spans="1:15">
      <c r="A34" s="53" t="s">
        <v>19</v>
      </c>
      <c r="B34" s="54" t="s">
        <v>85</v>
      </c>
      <c r="C34" s="99">
        <v>78272.833333333328</v>
      </c>
      <c r="D34" s="76"/>
      <c r="E34" s="76"/>
      <c r="F34" s="76"/>
      <c r="G34" s="76"/>
      <c r="H34" s="76"/>
      <c r="I34" s="76"/>
      <c r="J34" s="76">
        <f t="shared" si="3"/>
        <v>78272.833333333328</v>
      </c>
      <c r="K34" s="122">
        <v>41431.49</v>
      </c>
      <c r="L34" s="122">
        <f t="shared" si="5"/>
        <v>36841.343333333331</v>
      </c>
      <c r="M34" s="132">
        <f t="shared" si="4"/>
        <v>8.4329029896610917E-3</v>
      </c>
      <c r="O34" s="149"/>
    </row>
    <row r="35" spans="1:15">
      <c r="A35" s="53" t="s">
        <v>20</v>
      </c>
      <c r="B35" s="54" t="s">
        <v>83</v>
      </c>
      <c r="C35" s="99">
        <v>4800</v>
      </c>
      <c r="D35" s="76"/>
      <c r="E35" s="76"/>
      <c r="F35" s="76"/>
      <c r="G35" s="76"/>
      <c r="H35" s="76"/>
      <c r="I35" s="76"/>
      <c r="J35" s="76">
        <f t="shared" si="3"/>
        <v>4800</v>
      </c>
      <c r="K35" s="122">
        <v>0</v>
      </c>
      <c r="L35" s="122">
        <f t="shared" si="5"/>
        <v>4800</v>
      </c>
      <c r="M35" s="132">
        <f t="shared" si="4"/>
        <v>0</v>
      </c>
      <c r="O35" s="149"/>
    </row>
    <row r="36" spans="1:15">
      <c r="A36" s="53"/>
      <c r="B36" s="54"/>
      <c r="C36" s="99"/>
      <c r="D36" s="76"/>
      <c r="E36" s="76"/>
      <c r="F36" s="76"/>
      <c r="G36" s="76"/>
      <c r="H36" s="76"/>
      <c r="I36" s="76"/>
      <c r="J36" s="76"/>
      <c r="K36" s="122"/>
      <c r="L36" s="122"/>
      <c r="M36" s="132"/>
      <c r="O36" s="149"/>
    </row>
    <row r="37" spans="1:15">
      <c r="A37" s="59">
        <v>1</v>
      </c>
      <c r="B37" s="59" t="s">
        <v>10</v>
      </c>
      <c r="C37" s="99"/>
      <c r="D37" s="76"/>
      <c r="E37" s="76"/>
      <c r="F37" s="76"/>
      <c r="G37" s="76"/>
      <c r="H37" s="76"/>
      <c r="I37" s="76"/>
      <c r="J37" s="76"/>
      <c r="K37" s="122"/>
      <c r="L37" s="122"/>
      <c r="M37" s="132"/>
      <c r="O37" s="149"/>
    </row>
    <row r="38" spans="1:15">
      <c r="A38" s="60">
        <v>111</v>
      </c>
      <c r="B38" s="54" t="s">
        <v>44</v>
      </c>
      <c r="C38" s="99">
        <v>13125</v>
      </c>
      <c r="D38" s="76"/>
      <c r="E38" s="76"/>
      <c r="F38" s="76"/>
      <c r="G38" s="76"/>
      <c r="H38" s="76"/>
      <c r="I38" s="76"/>
      <c r="J38" s="76">
        <f t="shared" si="3"/>
        <v>13125</v>
      </c>
      <c r="K38" s="122">
        <v>7492.3200000000006</v>
      </c>
      <c r="L38" s="122">
        <f t="shared" si="5"/>
        <v>5632.6799999999994</v>
      </c>
      <c r="M38" s="132">
        <f t="shared" ref="M38:M70" si="6">K38/$K$114</f>
        <v>1.5249755132508535E-3</v>
      </c>
      <c r="O38" s="149"/>
    </row>
    <row r="39" spans="1:15">
      <c r="A39" s="60">
        <v>113</v>
      </c>
      <c r="B39" s="54" t="s">
        <v>53</v>
      </c>
      <c r="C39" s="99">
        <v>24780</v>
      </c>
      <c r="D39" s="76"/>
      <c r="E39" s="76"/>
      <c r="F39" s="76"/>
      <c r="G39" s="76"/>
      <c r="H39" s="76"/>
      <c r="I39" s="76"/>
      <c r="J39" s="76">
        <f t="shared" si="3"/>
        <v>24780</v>
      </c>
      <c r="K39" s="122">
        <v>19419</v>
      </c>
      <c r="L39" s="122">
        <f t="shared" si="5"/>
        <v>5361</v>
      </c>
      <c r="M39" s="132">
        <f t="shared" si="6"/>
        <v>3.9525139732176848E-3</v>
      </c>
      <c r="O39" s="149"/>
    </row>
    <row r="40" spans="1:15">
      <c r="A40" s="60">
        <v>114</v>
      </c>
      <c r="B40" s="54" t="s">
        <v>124</v>
      </c>
      <c r="C40" s="99">
        <v>5000</v>
      </c>
      <c r="D40" s="76"/>
      <c r="E40" s="76"/>
      <c r="F40" s="76"/>
      <c r="G40" s="76"/>
      <c r="H40" s="76"/>
      <c r="I40" s="76"/>
      <c r="J40" s="76">
        <f t="shared" si="3"/>
        <v>5000</v>
      </c>
      <c r="K40" s="122">
        <v>557</v>
      </c>
      <c r="L40" s="122">
        <f t="shared" si="5"/>
        <v>4443</v>
      </c>
      <c r="M40" s="132">
        <f t="shared" si="6"/>
        <v>1.1337093995994903E-4</v>
      </c>
      <c r="O40" s="149"/>
    </row>
    <row r="41" spans="1:15">
      <c r="A41" s="60">
        <v>121</v>
      </c>
      <c r="B41" s="54" t="s">
        <v>55</v>
      </c>
      <c r="C41" s="99">
        <v>20000</v>
      </c>
      <c r="D41" s="76">
        <v>30000</v>
      </c>
      <c r="E41" s="76"/>
      <c r="F41" s="76"/>
      <c r="G41" s="76"/>
      <c r="H41" s="76"/>
      <c r="I41" s="76"/>
      <c r="J41" s="76">
        <f t="shared" si="3"/>
        <v>50000</v>
      </c>
      <c r="K41" s="122">
        <v>23304</v>
      </c>
      <c r="L41" s="122">
        <f t="shared" si="5"/>
        <v>26696</v>
      </c>
      <c r="M41" s="132">
        <f t="shared" si="6"/>
        <v>4.7432610140514401E-3</v>
      </c>
      <c r="O41" s="149"/>
    </row>
    <row r="42" spans="1:15">
      <c r="A42" s="60">
        <v>122</v>
      </c>
      <c r="B42" s="54" t="s">
        <v>86</v>
      </c>
      <c r="C42" s="99">
        <v>17950</v>
      </c>
      <c r="D42" s="76">
        <v>10000</v>
      </c>
      <c r="E42" s="76"/>
      <c r="F42" s="76"/>
      <c r="G42" s="76"/>
      <c r="H42" s="76"/>
      <c r="I42" s="76"/>
      <c r="J42" s="76">
        <f t="shared" si="3"/>
        <v>27950</v>
      </c>
      <c r="K42" s="122">
        <v>26611</v>
      </c>
      <c r="L42" s="122">
        <f t="shared" si="5"/>
        <v>1339</v>
      </c>
      <c r="M42" s="132">
        <f t="shared" si="6"/>
        <v>5.4163628065964156E-3</v>
      </c>
      <c r="N42" s="159"/>
      <c r="O42" s="149"/>
    </row>
    <row r="43" spans="1:15">
      <c r="A43" s="60">
        <v>131</v>
      </c>
      <c r="B43" s="54" t="s">
        <v>56</v>
      </c>
      <c r="C43" s="99">
        <v>1102000</v>
      </c>
      <c r="D43" s="76">
        <v>375000</v>
      </c>
      <c r="E43" s="76"/>
      <c r="F43" s="76">
        <v>365000</v>
      </c>
      <c r="G43" s="76"/>
      <c r="H43" s="76"/>
      <c r="I43" s="76"/>
      <c r="J43" s="76">
        <f t="shared" si="3"/>
        <v>1842000</v>
      </c>
      <c r="K43" s="122">
        <v>1820729.08</v>
      </c>
      <c r="L43" s="122">
        <f t="shared" si="5"/>
        <v>21270.919999999925</v>
      </c>
      <c r="M43" s="132">
        <f t="shared" si="6"/>
        <v>0.37058845100900045</v>
      </c>
      <c r="O43" s="149"/>
    </row>
    <row r="44" spans="1:15">
      <c r="A44" s="60">
        <v>133</v>
      </c>
      <c r="B44" s="54" t="s">
        <v>57</v>
      </c>
      <c r="C44" s="99">
        <v>4546.67</v>
      </c>
      <c r="D44" s="76"/>
      <c r="E44" s="76"/>
      <c r="F44" s="76"/>
      <c r="G44" s="76"/>
      <c r="H44" s="76"/>
      <c r="I44" s="76"/>
      <c r="J44" s="76">
        <f t="shared" si="3"/>
        <v>4546.67</v>
      </c>
      <c r="K44" s="122">
        <v>0</v>
      </c>
      <c r="L44" s="122">
        <f t="shared" si="5"/>
        <v>4546.67</v>
      </c>
      <c r="M44" s="132">
        <f t="shared" si="6"/>
        <v>0</v>
      </c>
      <c r="O44" s="149"/>
    </row>
    <row r="45" spans="1:15">
      <c r="A45" s="60">
        <v>134</v>
      </c>
      <c r="B45" s="54" t="s">
        <v>87</v>
      </c>
      <c r="C45" s="99">
        <v>0</v>
      </c>
      <c r="D45" s="76"/>
      <c r="E45" s="76"/>
      <c r="F45" s="76"/>
      <c r="G45" s="76"/>
      <c r="H45" s="76"/>
      <c r="I45" s="76"/>
      <c r="J45" s="76">
        <f t="shared" si="3"/>
        <v>0</v>
      </c>
      <c r="K45" s="122">
        <v>0</v>
      </c>
      <c r="L45" s="122">
        <f t="shared" si="5"/>
        <v>0</v>
      </c>
      <c r="M45" s="132">
        <f t="shared" si="6"/>
        <v>0</v>
      </c>
      <c r="O45" s="149"/>
    </row>
    <row r="46" spans="1:15">
      <c r="A46" s="60">
        <v>135</v>
      </c>
      <c r="B46" s="54" t="s">
        <v>102</v>
      </c>
      <c r="C46" s="99">
        <v>124000</v>
      </c>
      <c r="D46" s="76"/>
      <c r="E46" s="76"/>
      <c r="F46" s="76">
        <v>70000</v>
      </c>
      <c r="G46" s="76"/>
      <c r="H46" s="76"/>
      <c r="I46" s="76"/>
      <c r="J46" s="76">
        <f t="shared" si="3"/>
        <v>194000</v>
      </c>
      <c r="K46" s="122">
        <v>142193.17000000004</v>
      </c>
      <c r="L46" s="122">
        <f t="shared" si="5"/>
        <v>51806.829999999958</v>
      </c>
      <c r="M46" s="132">
        <f t="shared" si="6"/>
        <v>2.8941783373042783E-2</v>
      </c>
      <c r="O46" s="149"/>
    </row>
    <row r="47" spans="1:15">
      <c r="A47" s="60">
        <v>141</v>
      </c>
      <c r="B47" s="54" t="s">
        <v>76</v>
      </c>
      <c r="C47" s="99">
        <v>374045.69</v>
      </c>
      <c r="D47" s="76">
        <v>77000</v>
      </c>
      <c r="E47" s="76"/>
      <c r="F47" s="76">
        <v>223000</v>
      </c>
      <c r="G47" s="76"/>
      <c r="H47" s="76"/>
      <c r="I47" s="76">
        <v>45250</v>
      </c>
      <c r="J47" s="76">
        <f t="shared" si="3"/>
        <v>628795.68999999994</v>
      </c>
      <c r="K47" s="122">
        <v>500373.26000000007</v>
      </c>
      <c r="L47" s="122">
        <f t="shared" si="5"/>
        <v>128422.42999999988</v>
      </c>
      <c r="M47" s="132">
        <f t="shared" si="6"/>
        <v>0.1018452187020179</v>
      </c>
      <c r="O47" s="149"/>
    </row>
    <row r="48" spans="1:15">
      <c r="A48" s="60">
        <v>142</v>
      </c>
      <c r="B48" s="54" t="s">
        <v>23</v>
      </c>
      <c r="C48" s="99">
        <v>32600</v>
      </c>
      <c r="D48" s="76"/>
      <c r="E48" s="76"/>
      <c r="F48" s="76"/>
      <c r="G48" s="76"/>
      <c r="H48" s="76"/>
      <c r="I48" s="76">
        <v>20000</v>
      </c>
      <c r="J48" s="76">
        <f t="shared" si="3"/>
        <v>12600</v>
      </c>
      <c r="K48" s="122">
        <v>0</v>
      </c>
      <c r="L48" s="122">
        <f t="shared" si="5"/>
        <v>12600</v>
      </c>
      <c r="M48" s="132">
        <f t="shared" si="6"/>
        <v>0</v>
      </c>
      <c r="O48" s="149"/>
    </row>
    <row r="49" spans="1:15">
      <c r="A49" s="60">
        <v>143</v>
      </c>
      <c r="B49" s="54" t="s">
        <v>127</v>
      </c>
      <c r="C49" s="99">
        <v>37071.31</v>
      </c>
      <c r="D49" s="76"/>
      <c r="E49" s="76"/>
      <c r="F49" s="76"/>
      <c r="G49" s="76"/>
      <c r="H49" s="76">
        <v>12000</v>
      </c>
      <c r="I49" s="76"/>
      <c r="J49" s="76">
        <f t="shared" si="3"/>
        <v>49071.31</v>
      </c>
      <c r="K49" s="122">
        <v>36462.980000000003</v>
      </c>
      <c r="L49" s="122">
        <f t="shared" si="5"/>
        <v>12608.329999999994</v>
      </c>
      <c r="M49" s="132">
        <f t="shared" si="6"/>
        <v>7.4216199575239186E-3</v>
      </c>
      <c r="O49" s="149"/>
    </row>
    <row r="50" spans="1:15">
      <c r="A50" s="60">
        <v>151</v>
      </c>
      <c r="B50" s="54" t="s">
        <v>139</v>
      </c>
      <c r="C50" s="99">
        <v>70560</v>
      </c>
      <c r="D50" s="76"/>
      <c r="E50" s="76"/>
      <c r="F50" s="76"/>
      <c r="G50" s="76"/>
      <c r="H50" s="76"/>
      <c r="I50" s="76"/>
      <c r="J50" s="76">
        <f t="shared" si="3"/>
        <v>70560</v>
      </c>
      <c r="K50" s="122">
        <v>64417.5</v>
      </c>
      <c r="L50" s="122">
        <f t="shared" si="5"/>
        <v>6142.5</v>
      </c>
      <c r="M50" s="132">
        <f t="shared" si="6"/>
        <v>1.3111440798689438E-2</v>
      </c>
      <c r="O50" s="149"/>
    </row>
    <row r="51" spans="1:15">
      <c r="A51" s="60">
        <v>155</v>
      </c>
      <c r="B51" s="54" t="s">
        <v>36</v>
      </c>
      <c r="C51" s="99">
        <v>0</v>
      </c>
      <c r="D51" s="76"/>
      <c r="E51" s="76"/>
      <c r="F51" s="76"/>
      <c r="G51" s="76"/>
      <c r="H51" s="76"/>
      <c r="I51" s="76"/>
      <c r="J51" s="76">
        <f t="shared" si="3"/>
        <v>0</v>
      </c>
      <c r="K51" s="122">
        <v>0</v>
      </c>
      <c r="L51" s="122">
        <f t="shared" si="5"/>
        <v>0</v>
      </c>
      <c r="M51" s="132">
        <f t="shared" si="6"/>
        <v>0</v>
      </c>
      <c r="O51" s="149"/>
    </row>
    <row r="52" spans="1:15">
      <c r="A52" s="60">
        <v>158</v>
      </c>
      <c r="B52" s="54" t="s">
        <v>103</v>
      </c>
      <c r="C52" s="99">
        <v>4000</v>
      </c>
      <c r="D52" s="76">
        <v>2550</v>
      </c>
      <c r="E52" s="76"/>
      <c r="F52" s="76"/>
      <c r="G52" s="76"/>
      <c r="H52" s="76"/>
      <c r="I52" s="76"/>
      <c r="J52" s="76">
        <f t="shared" si="3"/>
        <v>6550</v>
      </c>
      <c r="K52" s="122">
        <v>5250</v>
      </c>
      <c r="L52" s="122">
        <f t="shared" si="5"/>
        <v>1300</v>
      </c>
      <c r="M52" s="132">
        <f t="shared" si="6"/>
        <v>1.0685770822077782E-3</v>
      </c>
      <c r="O52" s="149"/>
    </row>
    <row r="53" spans="1:15">
      <c r="A53" s="60">
        <v>162</v>
      </c>
      <c r="B53" s="54" t="s">
        <v>58</v>
      </c>
      <c r="C53" s="99">
        <v>1350</v>
      </c>
      <c r="D53" s="76"/>
      <c r="E53" s="76"/>
      <c r="F53" s="76"/>
      <c r="G53" s="76"/>
      <c r="H53" s="76"/>
      <c r="I53" s="76"/>
      <c r="J53" s="76">
        <f t="shared" si="3"/>
        <v>1350</v>
      </c>
      <c r="K53" s="122">
        <v>0</v>
      </c>
      <c r="L53" s="122">
        <f t="shared" si="5"/>
        <v>1350</v>
      </c>
      <c r="M53" s="132">
        <f t="shared" si="6"/>
        <v>0</v>
      </c>
      <c r="O53" s="149"/>
    </row>
    <row r="54" spans="1:15">
      <c r="A54" s="60">
        <v>164</v>
      </c>
      <c r="B54" s="54" t="s">
        <v>45</v>
      </c>
      <c r="C54" s="99">
        <v>12500</v>
      </c>
      <c r="D54" s="76"/>
      <c r="E54" s="76"/>
      <c r="F54" s="76"/>
      <c r="G54" s="76"/>
      <c r="H54" s="76"/>
      <c r="I54" s="76"/>
      <c r="J54" s="76">
        <f t="shared" si="3"/>
        <v>12500</v>
      </c>
      <c r="K54" s="122">
        <v>5250</v>
      </c>
      <c r="L54" s="122">
        <f t="shared" si="5"/>
        <v>7250</v>
      </c>
      <c r="M54" s="132">
        <f t="shared" si="6"/>
        <v>1.0685770822077782E-3</v>
      </c>
      <c r="O54" s="149"/>
    </row>
    <row r="55" spans="1:15">
      <c r="A55" s="60">
        <v>165</v>
      </c>
      <c r="B55" s="54" t="s">
        <v>104</v>
      </c>
      <c r="C55" s="99">
        <v>6900</v>
      </c>
      <c r="D55" s="76"/>
      <c r="E55" s="76"/>
      <c r="F55" s="76"/>
      <c r="G55" s="76"/>
      <c r="H55" s="76"/>
      <c r="I55" s="76"/>
      <c r="J55" s="76">
        <f t="shared" si="3"/>
        <v>6900</v>
      </c>
      <c r="K55" s="122">
        <v>1457.0100000000002</v>
      </c>
      <c r="L55" s="122">
        <f t="shared" si="5"/>
        <v>5442.99</v>
      </c>
      <c r="M55" s="132">
        <f t="shared" si="6"/>
        <v>2.9655761800905813E-4</v>
      </c>
      <c r="O55" s="149"/>
    </row>
    <row r="56" spans="1:15">
      <c r="A56" s="60">
        <v>168</v>
      </c>
      <c r="B56" s="54" t="s">
        <v>59</v>
      </c>
      <c r="C56" s="99">
        <v>5500</v>
      </c>
      <c r="D56" s="76"/>
      <c r="E56" s="76"/>
      <c r="F56" s="76"/>
      <c r="G56" s="76"/>
      <c r="H56" s="76"/>
      <c r="I56" s="76"/>
      <c r="J56" s="76">
        <f t="shared" si="3"/>
        <v>5500</v>
      </c>
      <c r="K56" s="122">
        <v>1740</v>
      </c>
      <c r="L56" s="122">
        <f t="shared" si="5"/>
        <v>3760</v>
      </c>
      <c r="M56" s="132">
        <f t="shared" si="6"/>
        <v>3.5415697581743505E-4</v>
      </c>
      <c r="O56" s="149"/>
    </row>
    <row r="57" spans="1:15">
      <c r="A57" s="60">
        <v>174</v>
      </c>
      <c r="B57" s="54" t="s">
        <v>46</v>
      </c>
      <c r="C57" s="99">
        <v>5000</v>
      </c>
      <c r="D57" s="76"/>
      <c r="E57" s="76"/>
      <c r="F57" s="76"/>
      <c r="G57" s="76"/>
      <c r="H57" s="76"/>
      <c r="I57" s="76"/>
      <c r="J57" s="76">
        <f t="shared" si="3"/>
        <v>5000</v>
      </c>
      <c r="K57" s="122">
        <v>590</v>
      </c>
      <c r="L57" s="122">
        <f t="shared" si="5"/>
        <v>4410</v>
      </c>
      <c r="M57" s="132">
        <f t="shared" si="6"/>
        <v>1.2008771019096935E-4</v>
      </c>
      <c r="O57" s="149"/>
    </row>
    <row r="58" spans="1:15">
      <c r="A58" s="60">
        <v>182</v>
      </c>
      <c r="B58" s="54" t="s">
        <v>61</v>
      </c>
      <c r="C58" s="99">
        <v>0</v>
      </c>
      <c r="D58" s="76"/>
      <c r="E58" s="76"/>
      <c r="F58" s="76"/>
      <c r="G58" s="76"/>
      <c r="H58" s="76"/>
      <c r="I58" s="76"/>
      <c r="J58" s="76">
        <f t="shared" si="3"/>
        <v>0</v>
      </c>
      <c r="K58" s="122">
        <v>0</v>
      </c>
      <c r="L58" s="122">
        <f t="shared" si="5"/>
        <v>0</v>
      </c>
      <c r="M58" s="132">
        <f t="shared" si="6"/>
        <v>0</v>
      </c>
      <c r="O58" s="149"/>
    </row>
    <row r="59" spans="1:15">
      <c r="A59" s="60">
        <v>183</v>
      </c>
      <c r="B59" s="54" t="s">
        <v>105</v>
      </c>
      <c r="C59" s="99">
        <v>160000</v>
      </c>
      <c r="D59" s="76"/>
      <c r="E59" s="76"/>
      <c r="F59" s="76"/>
      <c r="G59" s="76">
        <v>75000</v>
      </c>
      <c r="H59" s="76"/>
      <c r="I59" s="76"/>
      <c r="J59" s="76">
        <f t="shared" si="3"/>
        <v>85000</v>
      </c>
      <c r="K59" s="122">
        <v>72142</v>
      </c>
      <c r="L59" s="122">
        <f t="shared" si="5"/>
        <v>12858</v>
      </c>
      <c r="M59" s="132">
        <f t="shared" si="6"/>
        <v>1.4683673878977815E-2</v>
      </c>
      <c r="O59" s="149"/>
    </row>
    <row r="60" spans="1:15">
      <c r="A60" s="60">
        <v>184</v>
      </c>
      <c r="B60" s="54" t="s">
        <v>106</v>
      </c>
      <c r="C60" s="99">
        <v>42000</v>
      </c>
      <c r="D60" s="76"/>
      <c r="E60" s="76"/>
      <c r="F60" s="76"/>
      <c r="G60" s="76"/>
      <c r="H60" s="76"/>
      <c r="I60" s="76"/>
      <c r="J60" s="76">
        <f t="shared" si="3"/>
        <v>42000</v>
      </c>
      <c r="K60" s="122">
        <v>35820.83</v>
      </c>
      <c r="L60" s="122">
        <f t="shared" si="5"/>
        <v>6179.1699999999983</v>
      </c>
      <c r="M60" s="132">
        <f t="shared" si="6"/>
        <v>7.2909177149830182E-3</v>
      </c>
      <c r="O60" s="149"/>
    </row>
    <row r="61" spans="1:15">
      <c r="A61" s="60">
        <v>185</v>
      </c>
      <c r="B61" s="54" t="s">
        <v>107</v>
      </c>
      <c r="C61" s="99">
        <v>69000</v>
      </c>
      <c r="D61" s="76"/>
      <c r="E61" s="76"/>
      <c r="F61" s="76"/>
      <c r="G61" s="76">
        <v>40000</v>
      </c>
      <c r="H61" s="76"/>
      <c r="I61" s="76">
        <v>19000</v>
      </c>
      <c r="J61" s="76">
        <f t="shared" si="3"/>
        <v>10000</v>
      </c>
      <c r="K61" s="122">
        <v>0</v>
      </c>
      <c r="L61" s="122">
        <f t="shared" si="5"/>
        <v>10000</v>
      </c>
      <c r="M61" s="132">
        <f t="shared" si="6"/>
        <v>0</v>
      </c>
      <c r="O61" s="149"/>
    </row>
    <row r="62" spans="1:15">
      <c r="A62" s="60">
        <v>186</v>
      </c>
      <c r="B62" s="54" t="s">
        <v>47</v>
      </c>
      <c r="C62" s="99">
        <v>2000</v>
      </c>
      <c r="D62" s="76"/>
      <c r="E62" s="76"/>
      <c r="F62" s="76"/>
      <c r="G62" s="76"/>
      <c r="H62" s="76"/>
      <c r="I62" s="76"/>
      <c r="J62" s="76">
        <f t="shared" si="3"/>
        <v>2000</v>
      </c>
      <c r="K62" s="122">
        <v>1055</v>
      </c>
      <c r="L62" s="122">
        <f t="shared" si="5"/>
        <v>945</v>
      </c>
      <c r="M62" s="132">
        <f t="shared" si="6"/>
        <v>2.1473310890080113E-4</v>
      </c>
      <c r="O62" s="149"/>
    </row>
    <row r="63" spans="1:15">
      <c r="A63" s="60">
        <v>187</v>
      </c>
      <c r="B63" s="54" t="s">
        <v>108</v>
      </c>
      <c r="C63" s="99">
        <v>51600</v>
      </c>
      <c r="D63" s="76"/>
      <c r="E63" s="76"/>
      <c r="F63" s="76"/>
      <c r="G63" s="76">
        <v>30000</v>
      </c>
      <c r="H63" s="76"/>
      <c r="I63" s="76"/>
      <c r="J63" s="76">
        <f t="shared" si="3"/>
        <v>21600</v>
      </c>
      <c r="K63" s="122">
        <v>5200</v>
      </c>
      <c r="L63" s="122">
        <f t="shared" si="5"/>
        <v>16400</v>
      </c>
      <c r="M63" s="132">
        <f t="shared" si="6"/>
        <v>1.0584001576153231E-3</v>
      </c>
      <c r="O63" s="149"/>
    </row>
    <row r="64" spans="1:15">
      <c r="A64" s="60">
        <v>188</v>
      </c>
      <c r="B64" s="54" t="s">
        <v>109</v>
      </c>
      <c r="C64" s="99">
        <v>0</v>
      </c>
      <c r="D64" s="76"/>
      <c r="E64" s="76"/>
      <c r="F64" s="76"/>
      <c r="G64" s="76"/>
      <c r="H64" s="76"/>
      <c r="I64" s="76"/>
      <c r="J64" s="76">
        <f t="shared" si="3"/>
        <v>0</v>
      </c>
      <c r="K64" s="122">
        <v>0</v>
      </c>
      <c r="L64" s="122">
        <f t="shared" si="5"/>
        <v>0</v>
      </c>
      <c r="M64" s="132">
        <f t="shared" si="6"/>
        <v>0</v>
      </c>
      <c r="O64" s="149"/>
    </row>
    <row r="65" spans="1:16">
      <c r="A65" s="60">
        <v>189</v>
      </c>
      <c r="B65" s="54" t="s">
        <v>110</v>
      </c>
      <c r="C65" s="99">
        <v>0</v>
      </c>
      <c r="D65" s="76">
        <v>275000</v>
      </c>
      <c r="E65" s="76"/>
      <c r="F65" s="76"/>
      <c r="G65" s="76">
        <v>10000</v>
      </c>
      <c r="H65" s="76"/>
      <c r="I65" s="76"/>
      <c r="J65" s="76">
        <f t="shared" si="3"/>
        <v>265000</v>
      </c>
      <c r="K65" s="122">
        <v>190229.02000000002</v>
      </c>
      <c r="L65" s="122">
        <f t="shared" si="5"/>
        <v>74770.979999999981</v>
      </c>
      <c r="M65" s="132">
        <f t="shared" si="6"/>
        <v>3.8718927836732399E-2</v>
      </c>
      <c r="O65" s="149"/>
    </row>
    <row r="66" spans="1:16">
      <c r="A66" s="60">
        <v>191</v>
      </c>
      <c r="B66" s="54" t="s">
        <v>111</v>
      </c>
      <c r="C66" s="99">
        <v>9000</v>
      </c>
      <c r="D66" s="76">
        <v>4000</v>
      </c>
      <c r="E66" s="76"/>
      <c r="F66" s="205"/>
      <c r="G66" s="76"/>
      <c r="H66" s="76"/>
      <c r="I66" s="76"/>
      <c r="J66" s="76">
        <f t="shared" si="3"/>
        <v>13000</v>
      </c>
      <c r="K66" s="122">
        <v>8986.27</v>
      </c>
      <c r="L66" s="122">
        <f t="shared" si="5"/>
        <v>4013.7299999999996</v>
      </c>
      <c r="M66" s="132">
        <f t="shared" si="6"/>
        <v>1.8290518431488172E-3</v>
      </c>
      <c r="O66" s="149"/>
    </row>
    <row r="67" spans="1:16">
      <c r="A67" s="60">
        <v>194</v>
      </c>
      <c r="B67" s="54" t="s">
        <v>112</v>
      </c>
      <c r="C67" s="99">
        <v>1080</v>
      </c>
      <c r="D67" s="76">
        <v>5000</v>
      </c>
      <c r="E67" s="76"/>
      <c r="F67" s="76"/>
      <c r="G67" s="76"/>
      <c r="H67" s="76"/>
      <c r="I67" s="76"/>
      <c r="J67" s="76">
        <f t="shared" si="3"/>
        <v>6080</v>
      </c>
      <c r="K67" s="122">
        <v>5306.4699999999993</v>
      </c>
      <c r="L67" s="122">
        <f t="shared" si="5"/>
        <v>773.53000000000065</v>
      </c>
      <c r="M67" s="132">
        <f t="shared" si="6"/>
        <v>1.0800709008424968E-3</v>
      </c>
      <c r="O67" s="149"/>
    </row>
    <row r="68" spans="1:16">
      <c r="A68" s="60">
        <v>195</v>
      </c>
      <c r="B68" s="54" t="s">
        <v>37</v>
      </c>
      <c r="C68" s="99">
        <v>10000</v>
      </c>
      <c r="D68" s="76"/>
      <c r="E68" s="76"/>
      <c r="F68" s="76"/>
      <c r="G68" s="76"/>
      <c r="H68" s="76"/>
      <c r="I68" s="76"/>
      <c r="J68" s="76">
        <f t="shared" si="3"/>
        <v>10000</v>
      </c>
      <c r="K68" s="122">
        <v>6269.2800000000007</v>
      </c>
      <c r="L68" s="122">
        <f t="shared" si="5"/>
        <v>3730.7199999999993</v>
      </c>
      <c r="M68" s="132">
        <f t="shared" si="6"/>
        <v>1.2760397961797294E-3</v>
      </c>
      <c r="O68" s="149"/>
    </row>
    <row r="69" spans="1:16">
      <c r="A69" s="60">
        <v>196</v>
      </c>
      <c r="B69" s="54" t="s">
        <v>113</v>
      </c>
      <c r="C69" s="99">
        <v>31300</v>
      </c>
      <c r="D69" s="76"/>
      <c r="E69" s="76"/>
      <c r="F69" s="76"/>
      <c r="G69" s="76"/>
      <c r="H69" s="76"/>
      <c r="I69" s="76">
        <v>10500</v>
      </c>
      <c r="J69" s="76">
        <f t="shared" si="3"/>
        <v>20800</v>
      </c>
      <c r="K69" s="122">
        <v>12489.5</v>
      </c>
      <c r="L69" s="122">
        <f t="shared" si="5"/>
        <v>8310.5</v>
      </c>
      <c r="M69" s="132">
        <f t="shared" si="6"/>
        <v>2.5420939939493417E-3</v>
      </c>
      <c r="O69" s="149"/>
    </row>
    <row r="70" spans="1:16">
      <c r="A70" s="60">
        <v>199</v>
      </c>
      <c r="B70" s="54" t="s">
        <v>60</v>
      </c>
      <c r="C70" s="99">
        <v>26043.75</v>
      </c>
      <c r="D70" s="76"/>
      <c r="E70" s="76"/>
      <c r="F70" s="76"/>
      <c r="G70" s="76"/>
      <c r="H70" s="76"/>
      <c r="I70" s="76"/>
      <c r="J70" s="76">
        <f t="shared" si="3"/>
        <v>26043.75</v>
      </c>
      <c r="K70" s="122">
        <v>12709.5</v>
      </c>
      <c r="L70" s="122">
        <f t="shared" si="5"/>
        <v>13334.25</v>
      </c>
      <c r="M70" s="132">
        <f t="shared" si="6"/>
        <v>2.5868724621561441E-3</v>
      </c>
      <c r="O70" s="149"/>
    </row>
    <row r="71" spans="1:16">
      <c r="A71" s="60"/>
      <c r="B71" s="54"/>
      <c r="C71" s="99"/>
      <c r="D71" s="76"/>
      <c r="E71" s="76"/>
      <c r="F71" s="76"/>
      <c r="G71" s="76"/>
      <c r="H71" s="76"/>
      <c r="I71" s="76"/>
      <c r="J71" s="76"/>
      <c r="K71" s="122"/>
      <c r="L71" s="122"/>
      <c r="M71" s="132"/>
      <c r="O71" s="149"/>
    </row>
    <row r="72" spans="1:16">
      <c r="A72" s="59">
        <v>2</v>
      </c>
      <c r="B72" s="59" t="s">
        <v>11</v>
      </c>
      <c r="C72" s="99"/>
      <c r="D72" s="76"/>
      <c r="E72" s="76"/>
      <c r="F72" s="76"/>
      <c r="G72" s="76"/>
      <c r="H72" s="76"/>
      <c r="I72" s="76"/>
      <c r="J72" s="76"/>
      <c r="K72" s="122"/>
      <c r="L72" s="122"/>
      <c r="M72" s="132"/>
      <c r="O72" s="149"/>
    </row>
    <row r="73" spans="1:16">
      <c r="A73" s="60">
        <v>211</v>
      </c>
      <c r="B73" s="54" t="s">
        <v>24</v>
      </c>
      <c r="C73" s="99">
        <v>66744.479999999996</v>
      </c>
      <c r="D73" s="76"/>
      <c r="E73" s="76"/>
      <c r="F73" s="76"/>
      <c r="G73" s="76"/>
      <c r="H73" s="76">
        <v>19000</v>
      </c>
      <c r="I73" s="76"/>
      <c r="J73" s="76">
        <f t="shared" ref="J73:J98" si="7">C73+D73-E73+F73-G73+H73-I73</f>
        <v>85744.48</v>
      </c>
      <c r="K73" s="122">
        <v>61984.349999999991</v>
      </c>
      <c r="L73" s="122">
        <f t="shared" si="5"/>
        <v>23760.130000000005</v>
      </c>
      <c r="M73" s="132">
        <f t="shared" ref="M73:M98" si="8">K73/$K$114</f>
        <v>1.2616201117246796E-2</v>
      </c>
      <c r="O73" s="149"/>
    </row>
    <row r="74" spans="1:16">
      <c r="A74" s="60">
        <v>219</v>
      </c>
      <c r="B74" s="54" t="s">
        <v>25</v>
      </c>
      <c r="C74" s="99">
        <v>0</v>
      </c>
      <c r="D74" s="76"/>
      <c r="E74" s="76"/>
      <c r="F74" s="76"/>
      <c r="G74" s="76"/>
      <c r="H74" s="76"/>
      <c r="I74" s="76"/>
      <c r="J74" s="76">
        <f t="shared" si="7"/>
        <v>0</v>
      </c>
      <c r="K74" s="122">
        <v>0</v>
      </c>
      <c r="L74" s="122">
        <f t="shared" si="5"/>
        <v>0</v>
      </c>
      <c r="M74" s="132">
        <f t="shared" si="8"/>
        <v>0</v>
      </c>
      <c r="O74" s="149"/>
    </row>
    <row r="75" spans="1:16">
      <c r="A75" s="60">
        <v>232</v>
      </c>
      <c r="B75" s="54" t="s">
        <v>62</v>
      </c>
      <c r="C75" s="99">
        <v>1140</v>
      </c>
      <c r="D75" s="76"/>
      <c r="E75" s="76"/>
      <c r="F75" s="76"/>
      <c r="G75" s="76"/>
      <c r="H75" s="76"/>
      <c r="I75" s="76"/>
      <c r="J75" s="76">
        <f t="shared" si="7"/>
        <v>1140</v>
      </c>
      <c r="K75" s="122">
        <v>680</v>
      </c>
      <c r="L75" s="122">
        <f t="shared" si="5"/>
        <v>460</v>
      </c>
      <c r="M75" s="132">
        <f t="shared" si="8"/>
        <v>1.3840617445738841E-4</v>
      </c>
      <c r="O75" s="149"/>
    </row>
    <row r="76" spans="1:16">
      <c r="A76" s="60">
        <v>233</v>
      </c>
      <c r="B76" s="54" t="s">
        <v>75</v>
      </c>
      <c r="C76" s="99">
        <v>58000</v>
      </c>
      <c r="D76" s="76"/>
      <c r="E76" s="76"/>
      <c r="F76" s="76"/>
      <c r="G76" s="76">
        <v>5000</v>
      </c>
      <c r="H76" s="76"/>
      <c r="I76" s="76">
        <v>27000</v>
      </c>
      <c r="J76" s="76">
        <f t="shared" si="7"/>
        <v>26000</v>
      </c>
      <c r="K76" s="122">
        <v>25745</v>
      </c>
      <c r="L76" s="122">
        <f t="shared" si="5"/>
        <v>255</v>
      </c>
      <c r="M76" s="132">
        <f t="shared" si="8"/>
        <v>5.2400984726550951E-3</v>
      </c>
      <c r="O76" s="149"/>
      <c r="P76" s="253"/>
    </row>
    <row r="77" spans="1:16">
      <c r="A77" s="60">
        <v>241</v>
      </c>
      <c r="B77" s="54" t="s">
        <v>63</v>
      </c>
      <c r="C77" s="99">
        <v>3000</v>
      </c>
      <c r="D77" s="76">
        <v>3500</v>
      </c>
      <c r="E77" s="76"/>
      <c r="F77" s="76">
        <v>3250</v>
      </c>
      <c r="G77" s="76"/>
      <c r="H77" s="76"/>
      <c r="I77" s="76"/>
      <c r="J77" s="76">
        <f t="shared" si="7"/>
        <v>9750</v>
      </c>
      <c r="K77" s="122">
        <v>5678.8</v>
      </c>
      <c r="L77" s="122">
        <f t="shared" si="5"/>
        <v>4071.2</v>
      </c>
      <c r="M77" s="132">
        <f t="shared" si="8"/>
        <v>1.1558543875126726E-3</v>
      </c>
      <c r="O77" s="149"/>
      <c r="P77" s="253"/>
    </row>
    <row r="78" spans="1:16">
      <c r="A78" s="60">
        <v>243</v>
      </c>
      <c r="B78" s="54" t="s">
        <v>48</v>
      </c>
      <c r="C78" s="99">
        <v>350</v>
      </c>
      <c r="D78" s="76"/>
      <c r="E78" s="76"/>
      <c r="F78" s="76">
        <v>250</v>
      </c>
      <c r="G78" s="76"/>
      <c r="H78" s="76"/>
      <c r="I78" s="76"/>
      <c r="J78" s="76">
        <f t="shared" si="7"/>
        <v>600</v>
      </c>
      <c r="K78" s="122">
        <v>249.7</v>
      </c>
      <c r="L78" s="122">
        <f t="shared" si="5"/>
        <v>350.3</v>
      </c>
      <c r="M78" s="132">
        <f t="shared" si="8"/>
        <v>5.0823561414720415E-5</v>
      </c>
      <c r="O78" s="149"/>
    </row>
    <row r="79" spans="1:16">
      <c r="A79" s="60">
        <v>244</v>
      </c>
      <c r="B79" s="54" t="s">
        <v>49</v>
      </c>
      <c r="C79" s="99">
        <v>1000</v>
      </c>
      <c r="D79" s="76"/>
      <c r="E79" s="76"/>
      <c r="F79" s="76"/>
      <c r="G79" s="76"/>
      <c r="H79" s="76"/>
      <c r="I79" s="76"/>
      <c r="J79" s="76">
        <f t="shared" si="7"/>
        <v>1000</v>
      </c>
      <c r="K79" s="122">
        <v>927.85</v>
      </c>
      <c r="L79" s="122">
        <f t="shared" si="5"/>
        <v>72.149999999999977</v>
      </c>
      <c r="M79" s="132">
        <f t="shared" si="8"/>
        <v>1.88853189662188E-4</v>
      </c>
      <c r="O79" s="149"/>
    </row>
    <row r="80" spans="1:16">
      <c r="A80" s="60">
        <v>245</v>
      </c>
      <c r="B80" s="54" t="s">
        <v>50</v>
      </c>
      <c r="C80" s="99">
        <v>1305</v>
      </c>
      <c r="D80" s="76"/>
      <c r="E80" s="76"/>
      <c r="F80" s="76"/>
      <c r="G80" s="76"/>
      <c r="H80" s="76"/>
      <c r="I80" s="76"/>
      <c r="J80" s="76">
        <f t="shared" si="7"/>
        <v>1305</v>
      </c>
      <c r="K80" s="122">
        <v>0</v>
      </c>
      <c r="L80" s="122">
        <f t="shared" si="5"/>
        <v>1305</v>
      </c>
      <c r="M80" s="132">
        <f t="shared" si="8"/>
        <v>0</v>
      </c>
      <c r="O80" s="149"/>
    </row>
    <row r="81" spans="1:15">
      <c r="A81" s="60">
        <v>253</v>
      </c>
      <c r="B81" s="54" t="s">
        <v>41</v>
      </c>
      <c r="C81" s="99">
        <v>2500</v>
      </c>
      <c r="D81" s="76"/>
      <c r="E81" s="76"/>
      <c r="F81" s="76">
        <v>3000</v>
      </c>
      <c r="G81" s="76"/>
      <c r="H81" s="76"/>
      <c r="I81" s="76"/>
      <c r="J81" s="76">
        <f t="shared" si="7"/>
        <v>5500</v>
      </c>
      <c r="K81" s="122">
        <v>3375</v>
      </c>
      <c r="L81" s="122">
        <f t="shared" si="5"/>
        <v>2125</v>
      </c>
      <c r="M81" s="132">
        <f t="shared" si="8"/>
        <v>6.8694240999071451E-4</v>
      </c>
      <c r="O81" s="149"/>
    </row>
    <row r="82" spans="1:15">
      <c r="A82" s="60">
        <v>254</v>
      </c>
      <c r="B82" s="54" t="s">
        <v>51</v>
      </c>
      <c r="C82" s="99">
        <v>200</v>
      </c>
      <c r="D82" s="76">
        <v>500</v>
      </c>
      <c r="E82" s="76"/>
      <c r="F82" s="76"/>
      <c r="G82" s="76"/>
      <c r="H82" s="76"/>
      <c r="I82" s="76"/>
      <c r="J82" s="76">
        <f t="shared" si="7"/>
        <v>700</v>
      </c>
      <c r="K82" s="122">
        <v>527.89</v>
      </c>
      <c r="L82" s="122">
        <f t="shared" si="5"/>
        <v>172.11</v>
      </c>
      <c r="M82" s="132">
        <f t="shared" si="8"/>
        <v>1.0744593446222171E-4</v>
      </c>
      <c r="O82" s="149"/>
    </row>
    <row r="83" spans="1:15">
      <c r="A83" s="60">
        <v>262</v>
      </c>
      <c r="B83" s="54" t="s">
        <v>64</v>
      </c>
      <c r="C83" s="99">
        <v>9770</v>
      </c>
      <c r="D83" s="76"/>
      <c r="E83" s="76"/>
      <c r="F83" s="76"/>
      <c r="G83" s="76"/>
      <c r="H83" s="76"/>
      <c r="I83" s="76"/>
      <c r="J83" s="76">
        <f t="shared" si="7"/>
        <v>9770</v>
      </c>
      <c r="K83" s="122">
        <v>6835.82</v>
      </c>
      <c r="L83" s="122">
        <f t="shared" si="5"/>
        <v>2934.1800000000003</v>
      </c>
      <c r="M83" s="132">
        <f t="shared" si="8"/>
        <v>1.3913524933519188E-3</v>
      </c>
      <c r="O83" s="149"/>
    </row>
    <row r="84" spans="1:15">
      <c r="A84" s="60">
        <v>266</v>
      </c>
      <c r="B84" s="54" t="s">
        <v>65</v>
      </c>
      <c r="C84" s="99">
        <v>600</v>
      </c>
      <c r="D84" s="76"/>
      <c r="E84" s="76"/>
      <c r="F84" s="76"/>
      <c r="G84" s="76"/>
      <c r="H84" s="76"/>
      <c r="I84" s="76"/>
      <c r="J84" s="76">
        <f t="shared" si="7"/>
        <v>600</v>
      </c>
      <c r="K84" s="122">
        <v>293.61</v>
      </c>
      <c r="L84" s="122">
        <f t="shared" si="5"/>
        <v>306.39</v>
      </c>
      <c r="M84" s="132">
        <f t="shared" si="8"/>
        <v>5.976093659181443E-5</v>
      </c>
      <c r="O84" s="149"/>
    </row>
    <row r="85" spans="1:15">
      <c r="A85" s="60">
        <v>267</v>
      </c>
      <c r="B85" s="54" t="s">
        <v>93</v>
      </c>
      <c r="C85" s="99">
        <v>15000</v>
      </c>
      <c r="D85" s="76"/>
      <c r="E85" s="76"/>
      <c r="F85" s="76">
        <v>7000</v>
      </c>
      <c r="G85" s="76"/>
      <c r="H85" s="76"/>
      <c r="I85" s="76"/>
      <c r="J85" s="76">
        <f t="shared" si="7"/>
        <v>22000</v>
      </c>
      <c r="K85" s="122">
        <v>19675</v>
      </c>
      <c r="L85" s="122">
        <f t="shared" si="5"/>
        <v>2325</v>
      </c>
      <c r="M85" s="132">
        <f t="shared" si="8"/>
        <v>4.0046198271310538E-3</v>
      </c>
      <c r="O85" s="149"/>
    </row>
    <row r="86" spans="1:15">
      <c r="A86" s="60">
        <v>268</v>
      </c>
      <c r="B86" s="54" t="s">
        <v>66</v>
      </c>
      <c r="C86" s="99">
        <v>1858</v>
      </c>
      <c r="D86" s="76"/>
      <c r="E86" s="76"/>
      <c r="F86" s="76"/>
      <c r="G86" s="76"/>
      <c r="H86" s="76"/>
      <c r="I86" s="76"/>
      <c r="J86" s="76">
        <f t="shared" si="7"/>
        <v>1858</v>
      </c>
      <c r="K86" s="122">
        <v>1655.3500000000001</v>
      </c>
      <c r="L86" s="122">
        <f t="shared" si="5"/>
        <v>202.64999999999986</v>
      </c>
      <c r="M86" s="132">
        <f t="shared" si="8"/>
        <v>3.3692744248240867E-4</v>
      </c>
      <c r="O86" s="149"/>
    </row>
    <row r="87" spans="1:15">
      <c r="A87" s="60">
        <v>269</v>
      </c>
      <c r="B87" s="54" t="s">
        <v>67</v>
      </c>
      <c r="C87" s="99">
        <v>500</v>
      </c>
      <c r="D87" s="76"/>
      <c r="E87" s="76"/>
      <c r="F87" s="76"/>
      <c r="G87" s="76"/>
      <c r="H87" s="76"/>
      <c r="I87" s="76"/>
      <c r="J87" s="76">
        <f t="shared" si="7"/>
        <v>500</v>
      </c>
      <c r="K87" s="122">
        <v>0</v>
      </c>
      <c r="L87" s="122">
        <f t="shared" si="5"/>
        <v>500</v>
      </c>
      <c r="M87" s="132">
        <f t="shared" si="8"/>
        <v>0</v>
      </c>
      <c r="O87" s="149"/>
    </row>
    <row r="88" spans="1:15">
      <c r="A88" s="60">
        <v>271</v>
      </c>
      <c r="B88" s="54" t="s">
        <v>68</v>
      </c>
      <c r="C88" s="99">
        <v>381250</v>
      </c>
      <c r="D88" s="76"/>
      <c r="E88" s="76"/>
      <c r="F88" s="76"/>
      <c r="G88" s="76">
        <v>300760</v>
      </c>
      <c r="H88" s="76"/>
      <c r="I88" s="76"/>
      <c r="J88" s="76">
        <f t="shared" si="7"/>
        <v>80490</v>
      </c>
      <c r="K88" s="122">
        <v>76829.8</v>
      </c>
      <c r="L88" s="122">
        <f t="shared" si="5"/>
        <v>3660.1999999999971</v>
      </c>
      <c r="M88" s="132">
        <f t="shared" si="8"/>
        <v>1.563782162106803E-2</v>
      </c>
      <c r="O88" s="149"/>
    </row>
    <row r="89" spans="1:15">
      <c r="A89" s="60">
        <v>283</v>
      </c>
      <c r="B89" s="54" t="s">
        <v>69</v>
      </c>
      <c r="C89" s="99">
        <v>1000</v>
      </c>
      <c r="D89" s="76"/>
      <c r="E89" s="76"/>
      <c r="F89" s="76"/>
      <c r="G89" s="76"/>
      <c r="H89" s="76"/>
      <c r="I89" s="76"/>
      <c r="J89" s="76">
        <f t="shared" si="7"/>
        <v>1000</v>
      </c>
      <c r="K89" s="122">
        <v>113.04</v>
      </c>
      <c r="L89" s="122">
        <f t="shared" ref="L89:L105" si="9">J89-K89</f>
        <v>886.96</v>
      </c>
      <c r="M89" s="132">
        <f t="shared" si="8"/>
        <v>2.3007991118622332E-5</v>
      </c>
      <c r="O89" s="149"/>
    </row>
    <row r="90" spans="1:15">
      <c r="A90" s="60">
        <v>284</v>
      </c>
      <c r="B90" s="54" t="s">
        <v>52</v>
      </c>
      <c r="C90" s="99">
        <v>5000</v>
      </c>
      <c r="D90" s="76">
        <v>7000</v>
      </c>
      <c r="E90" s="76"/>
      <c r="F90" s="76"/>
      <c r="G90" s="76"/>
      <c r="H90" s="76"/>
      <c r="I90" s="76"/>
      <c r="J90" s="76">
        <f t="shared" si="7"/>
        <v>12000</v>
      </c>
      <c r="K90" s="122">
        <v>344.23</v>
      </c>
      <c r="L90" s="122">
        <f t="shared" si="9"/>
        <v>11655.77</v>
      </c>
      <c r="M90" s="132">
        <f t="shared" si="8"/>
        <v>7.0064055049215903E-5</v>
      </c>
      <c r="O90" s="149"/>
    </row>
    <row r="91" spans="1:15">
      <c r="A91" s="60">
        <v>285</v>
      </c>
      <c r="B91" s="54" t="s">
        <v>128</v>
      </c>
      <c r="C91" s="99">
        <v>1516915</v>
      </c>
      <c r="D91" s="76"/>
      <c r="E91" s="76">
        <v>476000</v>
      </c>
      <c r="F91" s="76"/>
      <c r="G91" s="76">
        <v>310740</v>
      </c>
      <c r="H91" s="76"/>
      <c r="I91" s="76"/>
      <c r="J91" s="76">
        <f t="shared" si="7"/>
        <v>730175</v>
      </c>
      <c r="K91" s="122">
        <v>722736.5</v>
      </c>
      <c r="L91" s="122">
        <f t="shared" si="9"/>
        <v>7438.5</v>
      </c>
      <c r="M91" s="132">
        <f t="shared" si="8"/>
        <v>0.1471046972142975</v>
      </c>
      <c r="O91" s="149"/>
    </row>
    <row r="92" spans="1:15">
      <c r="A92" s="60">
        <v>291</v>
      </c>
      <c r="B92" s="54" t="s">
        <v>70</v>
      </c>
      <c r="C92" s="99">
        <v>6500</v>
      </c>
      <c r="D92" s="76">
        <v>2500</v>
      </c>
      <c r="E92" s="76"/>
      <c r="F92" s="76"/>
      <c r="G92" s="76"/>
      <c r="H92" s="76"/>
      <c r="I92" s="76"/>
      <c r="J92" s="76">
        <f t="shared" si="7"/>
        <v>9000</v>
      </c>
      <c r="K92" s="122">
        <v>7030.4699999999993</v>
      </c>
      <c r="L92" s="122">
        <f t="shared" si="9"/>
        <v>1969.5300000000007</v>
      </c>
      <c r="M92" s="132">
        <f t="shared" si="8"/>
        <v>1.4309712607903462E-3</v>
      </c>
      <c r="O92" s="149"/>
    </row>
    <row r="93" spans="1:15">
      <c r="A93" s="60">
        <v>292</v>
      </c>
      <c r="B93" s="54" t="s">
        <v>71</v>
      </c>
      <c r="C93" s="99">
        <v>1300</v>
      </c>
      <c r="D93" s="76">
        <v>500</v>
      </c>
      <c r="E93" s="76"/>
      <c r="F93" s="76"/>
      <c r="G93" s="76"/>
      <c r="H93" s="76"/>
      <c r="I93" s="76"/>
      <c r="J93" s="76">
        <f t="shared" si="7"/>
        <v>1800</v>
      </c>
      <c r="K93" s="122">
        <v>1224.9099999999999</v>
      </c>
      <c r="L93" s="122">
        <f t="shared" si="9"/>
        <v>575.09000000000015</v>
      </c>
      <c r="M93" s="132">
        <f t="shared" si="8"/>
        <v>2.4931633405088176E-4</v>
      </c>
      <c r="O93" s="149"/>
    </row>
    <row r="94" spans="1:15">
      <c r="A94" s="60">
        <v>294</v>
      </c>
      <c r="B94" s="54" t="s">
        <v>72</v>
      </c>
      <c r="C94" s="99">
        <v>65000</v>
      </c>
      <c r="D94" s="98"/>
      <c r="E94" s="98"/>
      <c r="F94" s="76"/>
      <c r="G94" s="76"/>
      <c r="H94" s="76"/>
      <c r="I94" s="76"/>
      <c r="J94" s="76">
        <f t="shared" si="7"/>
        <v>65000</v>
      </c>
      <c r="K94" s="122">
        <v>41135.99</v>
      </c>
      <c r="L94" s="122">
        <f t="shared" si="9"/>
        <v>23864.010000000002</v>
      </c>
      <c r="M94" s="132">
        <f t="shared" si="8"/>
        <v>8.372757365319684E-3</v>
      </c>
      <c r="O94" s="149"/>
    </row>
    <row r="95" spans="1:15">
      <c r="A95" s="60">
        <v>296</v>
      </c>
      <c r="B95" s="54" t="s">
        <v>114</v>
      </c>
      <c r="C95" s="99">
        <v>800</v>
      </c>
      <c r="D95" s="76"/>
      <c r="E95" s="76"/>
      <c r="F95" s="76"/>
      <c r="G95" s="76"/>
      <c r="H95" s="76"/>
      <c r="I95" s="76"/>
      <c r="J95" s="76">
        <f t="shared" si="7"/>
        <v>800</v>
      </c>
      <c r="K95" s="122">
        <v>0</v>
      </c>
      <c r="L95" s="122">
        <f t="shared" si="9"/>
        <v>800</v>
      </c>
      <c r="M95" s="132">
        <f t="shared" si="8"/>
        <v>0</v>
      </c>
      <c r="O95" s="149"/>
    </row>
    <row r="96" spans="1:15">
      <c r="A96" s="60">
        <v>297</v>
      </c>
      <c r="B96" s="54" t="s">
        <v>73</v>
      </c>
      <c r="C96" s="99">
        <v>800</v>
      </c>
      <c r="D96" s="76"/>
      <c r="E96" s="76"/>
      <c r="F96" s="76"/>
      <c r="G96" s="76"/>
      <c r="H96" s="76"/>
      <c r="I96" s="76"/>
      <c r="J96" s="76">
        <f t="shared" si="7"/>
        <v>800</v>
      </c>
      <c r="K96" s="122">
        <v>45</v>
      </c>
      <c r="L96" s="122">
        <f t="shared" si="9"/>
        <v>755</v>
      </c>
      <c r="M96" s="132">
        <f t="shared" si="8"/>
        <v>9.159232133209527E-6</v>
      </c>
      <c r="O96" s="149"/>
    </row>
    <row r="97" spans="1:15">
      <c r="A97" s="60">
        <v>298</v>
      </c>
      <c r="B97" s="54" t="s">
        <v>26</v>
      </c>
      <c r="C97" s="99">
        <v>20000</v>
      </c>
      <c r="D97" s="98"/>
      <c r="E97" s="98"/>
      <c r="F97" s="76"/>
      <c r="G97" s="76">
        <v>5000</v>
      </c>
      <c r="H97" s="76">
        <v>25750</v>
      </c>
      <c r="I97" s="76"/>
      <c r="J97" s="76">
        <f t="shared" si="7"/>
        <v>40750</v>
      </c>
      <c r="K97" s="122">
        <v>20589.240000000002</v>
      </c>
      <c r="L97" s="122">
        <f t="shared" si="9"/>
        <v>20160.759999999998</v>
      </c>
      <c r="M97" s="132">
        <f t="shared" si="8"/>
        <v>4.1907028579191759E-3</v>
      </c>
      <c r="O97" s="149"/>
    </row>
    <row r="98" spans="1:15">
      <c r="A98" s="60">
        <v>299</v>
      </c>
      <c r="B98" s="54" t="s">
        <v>74</v>
      </c>
      <c r="C98" s="99">
        <v>15000</v>
      </c>
      <c r="D98" s="98"/>
      <c r="E98" s="98"/>
      <c r="F98" s="76"/>
      <c r="G98" s="76"/>
      <c r="H98" s="76"/>
      <c r="I98" s="76"/>
      <c r="J98" s="76">
        <f t="shared" si="7"/>
        <v>15000</v>
      </c>
      <c r="K98" s="122">
        <v>5699.51</v>
      </c>
      <c r="L98" s="122">
        <f t="shared" si="9"/>
        <v>9300.49</v>
      </c>
      <c r="M98" s="132">
        <f t="shared" si="8"/>
        <v>1.1600696696788674E-3</v>
      </c>
      <c r="O98" s="149"/>
    </row>
    <row r="99" spans="1:15">
      <c r="A99" s="60"/>
      <c r="B99" s="54"/>
      <c r="C99" s="99"/>
      <c r="D99" s="98"/>
      <c r="E99" s="98"/>
      <c r="F99" s="76"/>
      <c r="G99" s="76"/>
      <c r="H99" s="76"/>
      <c r="I99" s="76"/>
      <c r="J99" s="76"/>
      <c r="K99" s="122"/>
      <c r="L99" s="122"/>
      <c r="M99" s="132"/>
      <c r="O99" s="149"/>
    </row>
    <row r="100" spans="1:15">
      <c r="A100" s="59">
        <v>3</v>
      </c>
      <c r="B100" s="59" t="s">
        <v>178</v>
      </c>
      <c r="C100" s="99"/>
      <c r="D100" s="76"/>
      <c r="E100" s="76"/>
      <c r="F100" s="76"/>
      <c r="G100" s="76"/>
      <c r="H100" s="76"/>
      <c r="I100" s="76"/>
      <c r="J100" s="76"/>
      <c r="K100" s="122"/>
      <c r="L100" s="122"/>
      <c r="M100" s="132"/>
      <c r="O100" s="149"/>
    </row>
    <row r="101" spans="1:15">
      <c r="A101" s="60">
        <v>322</v>
      </c>
      <c r="B101" s="54" t="s">
        <v>88</v>
      </c>
      <c r="C101" s="99">
        <v>32000</v>
      </c>
      <c r="D101" s="76"/>
      <c r="E101" s="76"/>
      <c r="F101" s="76"/>
      <c r="G101" s="76"/>
      <c r="H101" s="76"/>
      <c r="I101" s="76"/>
      <c r="J101" s="76">
        <f t="shared" ref="J101:J105" si="10">C101+D101-E101+F101-G101+H101-I101</f>
        <v>32000</v>
      </c>
      <c r="K101" s="122">
        <v>23544</v>
      </c>
      <c r="L101" s="122">
        <f t="shared" si="9"/>
        <v>8456</v>
      </c>
      <c r="M101" s="132">
        <f>K101/$K$114</f>
        <v>4.7921102520952245E-3</v>
      </c>
      <c r="O101" s="149"/>
    </row>
    <row r="102" spans="1:15">
      <c r="A102" s="60">
        <v>323</v>
      </c>
      <c r="B102" s="54" t="s">
        <v>140</v>
      </c>
      <c r="C102" s="99">
        <v>3000</v>
      </c>
      <c r="D102" s="76"/>
      <c r="E102" s="76"/>
      <c r="F102" s="76"/>
      <c r="G102" s="76"/>
      <c r="H102" s="76"/>
      <c r="I102" s="76"/>
      <c r="J102" s="76">
        <f t="shared" si="10"/>
        <v>3000</v>
      </c>
      <c r="K102" s="122">
        <v>0</v>
      </c>
      <c r="L102" s="122">
        <f t="shared" si="9"/>
        <v>3000</v>
      </c>
      <c r="M102" s="132">
        <f>K102/$K$114</f>
        <v>0</v>
      </c>
      <c r="O102" s="149"/>
    </row>
    <row r="103" spans="1:15">
      <c r="A103" s="60">
        <v>324</v>
      </c>
      <c r="B103" s="54" t="s">
        <v>141</v>
      </c>
      <c r="C103" s="99">
        <v>116220</v>
      </c>
      <c r="D103" s="76"/>
      <c r="E103" s="76"/>
      <c r="F103" s="76"/>
      <c r="G103" s="76"/>
      <c r="H103" s="76">
        <v>65000</v>
      </c>
      <c r="I103" s="76"/>
      <c r="J103" s="76">
        <f t="shared" si="10"/>
        <v>181220</v>
      </c>
      <c r="K103" s="122">
        <v>11100</v>
      </c>
      <c r="L103" s="122">
        <f t="shared" si="9"/>
        <v>170120</v>
      </c>
      <c r="M103" s="132">
        <f>K103/$K$114</f>
        <v>2.2592772595250166E-3</v>
      </c>
      <c r="O103" s="149"/>
    </row>
    <row r="104" spans="1:15">
      <c r="A104" s="60">
        <v>328</v>
      </c>
      <c r="B104" s="54" t="s">
        <v>89</v>
      </c>
      <c r="C104" s="99">
        <v>18000</v>
      </c>
      <c r="D104" s="76"/>
      <c r="E104" s="76"/>
      <c r="F104" s="76"/>
      <c r="G104" s="76"/>
      <c r="H104" s="76"/>
      <c r="I104" s="76"/>
      <c r="J104" s="76">
        <f t="shared" si="10"/>
        <v>18000</v>
      </c>
      <c r="K104" s="122">
        <v>17459</v>
      </c>
      <c r="L104" s="122">
        <f t="shared" si="9"/>
        <v>541</v>
      </c>
      <c r="M104" s="132">
        <f>K104/$K$114</f>
        <v>3.5535785291934473E-3</v>
      </c>
      <c r="O104" s="149"/>
    </row>
    <row r="105" spans="1:15">
      <c r="A105" s="60">
        <v>329</v>
      </c>
      <c r="B105" s="54" t="s">
        <v>90</v>
      </c>
      <c r="C105" s="99">
        <v>8000</v>
      </c>
      <c r="D105" s="76">
        <v>5000</v>
      </c>
      <c r="E105" s="76"/>
      <c r="F105" s="76"/>
      <c r="G105" s="76"/>
      <c r="H105" s="76"/>
      <c r="I105" s="76"/>
      <c r="J105" s="76">
        <f t="shared" si="10"/>
        <v>13000</v>
      </c>
      <c r="K105" s="122">
        <v>0</v>
      </c>
      <c r="L105" s="122">
        <f t="shared" si="9"/>
        <v>13000</v>
      </c>
      <c r="M105" s="132">
        <f>K105/$K$114</f>
        <v>0</v>
      </c>
      <c r="O105" s="149"/>
    </row>
    <row r="106" spans="1:15">
      <c r="A106" s="60"/>
      <c r="B106" s="54"/>
      <c r="C106" s="99"/>
      <c r="D106" s="76"/>
      <c r="E106" s="76"/>
      <c r="F106" s="76"/>
      <c r="G106" s="76"/>
      <c r="H106" s="76"/>
      <c r="I106" s="76"/>
      <c r="J106" s="76"/>
      <c r="K106" s="122"/>
      <c r="L106" s="122"/>
      <c r="M106" s="132"/>
      <c r="O106" s="149"/>
    </row>
    <row r="107" spans="1:15">
      <c r="A107" s="59">
        <v>4</v>
      </c>
      <c r="B107" s="59" t="s">
        <v>13</v>
      </c>
      <c r="C107" s="99"/>
      <c r="D107" s="76"/>
      <c r="E107" s="76"/>
      <c r="F107" s="76"/>
      <c r="G107" s="76"/>
      <c r="H107" s="76"/>
      <c r="I107" s="76"/>
      <c r="J107" s="76"/>
      <c r="K107" s="122"/>
      <c r="L107" s="122"/>
      <c r="M107" s="132"/>
      <c r="O107" s="149"/>
    </row>
    <row r="108" spans="1:15">
      <c r="A108" s="61">
        <v>413</v>
      </c>
      <c r="B108" s="62" t="s">
        <v>77</v>
      </c>
      <c r="C108" s="99">
        <v>46000</v>
      </c>
      <c r="D108" s="76"/>
      <c r="E108" s="76"/>
      <c r="F108" s="76"/>
      <c r="G108" s="76"/>
      <c r="H108" s="76"/>
      <c r="I108" s="76"/>
      <c r="J108" s="76">
        <f t="shared" ref="J108:J112" si="11">C108+D108-E108+F108-G108+H108-I108</f>
        <v>46000</v>
      </c>
      <c r="K108" s="122">
        <v>0</v>
      </c>
      <c r="L108" s="122">
        <f t="shared" ref="L108:L112" si="12">J108-K108</f>
        <v>46000</v>
      </c>
      <c r="M108" s="132">
        <f>K108/$K$114</f>
        <v>0</v>
      </c>
      <c r="O108" s="149"/>
    </row>
    <row r="109" spans="1:15">
      <c r="A109" s="61">
        <v>415</v>
      </c>
      <c r="B109" s="62" t="s">
        <v>78</v>
      </c>
      <c r="C109" s="99">
        <v>30100</v>
      </c>
      <c r="D109" s="76"/>
      <c r="E109" s="76"/>
      <c r="F109" s="76"/>
      <c r="G109" s="76"/>
      <c r="H109" s="76"/>
      <c r="I109" s="76"/>
      <c r="J109" s="76">
        <f t="shared" si="11"/>
        <v>30100</v>
      </c>
      <c r="K109" s="122">
        <v>0</v>
      </c>
      <c r="L109" s="122">
        <f t="shared" si="12"/>
        <v>30100</v>
      </c>
      <c r="M109" s="132">
        <f>K109/$K$114</f>
        <v>0</v>
      </c>
      <c r="O109" s="149"/>
    </row>
    <row r="110" spans="1:15">
      <c r="A110" s="61">
        <v>419</v>
      </c>
      <c r="B110" s="62" t="s">
        <v>79</v>
      </c>
      <c r="C110" s="99">
        <v>19200</v>
      </c>
      <c r="D110" s="76"/>
      <c r="E110" s="76"/>
      <c r="F110" s="76"/>
      <c r="G110" s="76"/>
      <c r="H110" s="76"/>
      <c r="I110" s="76"/>
      <c r="J110" s="76">
        <f t="shared" si="11"/>
        <v>19200</v>
      </c>
      <c r="K110" s="122">
        <v>4000</v>
      </c>
      <c r="L110" s="122">
        <f t="shared" si="12"/>
        <v>15200</v>
      </c>
      <c r="M110" s="132">
        <f>K110/$K$114</f>
        <v>8.1415396739640243E-4</v>
      </c>
      <c r="O110" s="149"/>
    </row>
    <row r="111" spans="1:15">
      <c r="A111" s="61">
        <v>453</v>
      </c>
      <c r="B111" s="62" t="s">
        <v>80</v>
      </c>
      <c r="C111" s="99">
        <v>120000</v>
      </c>
      <c r="D111" s="76"/>
      <c r="E111" s="76"/>
      <c r="F111" s="76">
        <v>105000</v>
      </c>
      <c r="G111" s="76"/>
      <c r="H111" s="76"/>
      <c r="I111" s="76"/>
      <c r="J111" s="76">
        <f t="shared" si="11"/>
        <v>225000</v>
      </c>
      <c r="K111" s="122">
        <v>188697.81000000003</v>
      </c>
      <c r="L111" s="122">
        <f t="shared" si="12"/>
        <v>36302.189999999973</v>
      </c>
      <c r="M111" s="132">
        <f>K111/$K$114</f>
        <v>3.8407267662628135E-2</v>
      </c>
      <c r="O111" s="149"/>
    </row>
    <row r="112" spans="1:15">
      <c r="A112" s="61">
        <v>472</v>
      </c>
      <c r="B112" s="62" t="s">
        <v>118</v>
      </c>
      <c r="C112" s="99">
        <v>4000</v>
      </c>
      <c r="D112" s="76"/>
      <c r="E112" s="76"/>
      <c r="F112" s="76"/>
      <c r="G112" s="76"/>
      <c r="H112" s="76"/>
      <c r="I112" s="76"/>
      <c r="J112" s="76">
        <f t="shared" si="11"/>
        <v>4000</v>
      </c>
      <c r="K112" s="122">
        <v>2089.9</v>
      </c>
      <c r="L112" s="122">
        <f t="shared" si="12"/>
        <v>1910.1</v>
      </c>
      <c r="M112" s="132">
        <f>K112/$K$114</f>
        <v>4.2537509411543536E-4</v>
      </c>
      <c r="O112" s="149"/>
    </row>
    <row r="113" spans="1:13" ht="20.25" customHeight="1" thickBot="1">
      <c r="A113" s="56"/>
      <c r="B113" s="160"/>
      <c r="C113" s="229"/>
      <c r="D113" s="76"/>
      <c r="E113" s="76"/>
      <c r="F113" s="101"/>
      <c r="G113" s="101"/>
      <c r="H113" s="101"/>
      <c r="I113" s="101"/>
      <c r="J113" s="52"/>
      <c r="K113" s="249"/>
      <c r="L113" s="125"/>
      <c r="M113" s="132"/>
    </row>
    <row r="114" spans="1:13" ht="20.25" customHeight="1" thickBot="1">
      <c r="A114" s="162"/>
      <c r="B114" s="19" t="s">
        <v>7</v>
      </c>
      <c r="C114" s="63">
        <f>SUM(C23:C113)</f>
        <v>6176079.2063746657</v>
      </c>
      <c r="D114" s="11">
        <f>SUM(D23:D113)</f>
        <v>833550</v>
      </c>
      <c r="E114" s="11">
        <f>SUM(E23:E113)</f>
        <v>833550</v>
      </c>
      <c r="F114" s="11">
        <f t="shared" ref="F114:L114" si="13">SUM(F23:F113)</f>
        <v>776500</v>
      </c>
      <c r="G114" s="11">
        <f t="shared" si="13"/>
        <v>776500</v>
      </c>
      <c r="H114" s="11">
        <f t="shared" si="13"/>
        <v>121750</v>
      </c>
      <c r="I114" s="11">
        <f t="shared" si="13"/>
        <v>121750</v>
      </c>
      <c r="J114" s="11">
        <f t="shared" si="13"/>
        <v>6176079.2063746676</v>
      </c>
      <c r="K114" s="250">
        <f>ROUND((SUM(K23:K113)),2)</f>
        <v>4913075.6100000003</v>
      </c>
      <c r="L114" s="11">
        <f t="shared" si="13"/>
        <v>1263003.5963746663</v>
      </c>
      <c r="M114" s="163">
        <f>K114/K114</f>
        <v>1</v>
      </c>
    </row>
    <row r="115" spans="1:13" ht="20.25" customHeight="1">
      <c r="A115" s="164"/>
      <c r="B115" s="36"/>
      <c r="C115" s="64"/>
      <c r="D115" s="37"/>
      <c r="E115" s="37"/>
      <c r="F115" s="37"/>
      <c r="G115" s="64"/>
      <c r="H115" s="64"/>
      <c r="I115" s="37"/>
      <c r="J115" s="37"/>
      <c r="K115" s="251"/>
      <c r="L115" s="37"/>
      <c r="M115" s="39"/>
    </row>
    <row r="116" spans="1:13" ht="20.25" customHeight="1" thickBot="1">
      <c r="A116" s="164"/>
      <c r="B116" s="36"/>
      <c r="C116" s="64"/>
      <c r="D116" s="37"/>
      <c r="E116" s="37"/>
      <c r="F116" s="37"/>
      <c r="G116" s="37"/>
      <c r="H116" s="37"/>
      <c r="I116" s="37"/>
      <c r="J116" s="37"/>
      <c r="K116" s="251"/>
      <c r="L116" s="37"/>
      <c r="M116" s="39"/>
    </row>
    <row r="117" spans="1:13" s="35" customFormat="1">
      <c r="A117" s="81" t="s">
        <v>8</v>
      </c>
      <c r="B117" s="81"/>
      <c r="C117" s="230"/>
      <c r="D117" s="32"/>
      <c r="E117" s="32"/>
      <c r="F117" s="96"/>
      <c r="G117" s="96"/>
      <c r="H117" s="96"/>
      <c r="I117" s="96"/>
      <c r="J117" s="42"/>
      <c r="K117" s="252"/>
      <c r="L117" s="33"/>
      <c r="M117" s="34"/>
    </row>
    <row r="118" spans="1:13" s="35" customFormat="1">
      <c r="A118" s="84" t="s">
        <v>0</v>
      </c>
      <c r="B118" s="84"/>
      <c r="C118" s="231"/>
      <c r="D118" s="32"/>
      <c r="E118" s="32"/>
      <c r="F118" s="96"/>
      <c r="G118" s="96"/>
      <c r="H118" s="96"/>
      <c r="I118" s="96"/>
      <c r="J118" s="42"/>
      <c r="K118" s="252"/>
      <c r="L118" s="33"/>
      <c r="M118" s="34"/>
    </row>
    <row r="119" spans="1:13" s="35" customFormat="1" ht="12" customHeight="1" thickBot="1">
      <c r="A119" s="84"/>
      <c r="B119" s="84"/>
      <c r="C119" s="231"/>
      <c r="D119" s="32"/>
      <c r="E119" s="32"/>
      <c r="F119" s="96"/>
      <c r="G119" s="96"/>
      <c r="H119" s="96"/>
      <c r="I119" s="96"/>
      <c r="J119" s="42"/>
      <c r="K119" s="252"/>
      <c r="L119" s="33"/>
      <c r="M119" s="34"/>
    </row>
    <row r="120" spans="1:13" s="35" customFormat="1">
      <c r="A120" s="90" t="s">
        <v>121</v>
      </c>
      <c r="B120" s="85"/>
      <c r="C120" s="238"/>
      <c r="D120" s="32"/>
      <c r="E120" s="32"/>
      <c r="G120" s="96"/>
      <c r="H120" s="96"/>
      <c r="I120" s="96"/>
      <c r="J120" s="42"/>
      <c r="K120" s="252"/>
      <c r="L120" s="33"/>
      <c r="M120" s="34"/>
    </row>
    <row r="121" spans="1:13" s="35" customFormat="1">
      <c r="A121" s="91" t="s">
        <v>131</v>
      </c>
      <c r="B121" s="83"/>
      <c r="C121" s="168">
        <v>1077959.21</v>
      </c>
      <c r="D121" s="32"/>
      <c r="E121" s="169"/>
      <c r="G121" s="96"/>
      <c r="H121" s="96"/>
      <c r="I121" s="96"/>
      <c r="J121" s="42"/>
      <c r="K121" s="252"/>
      <c r="L121" s="33"/>
      <c r="M121" s="34"/>
    </row>
    <row r="122" spans="1:13" s="35" customFormat="1">
      <c r="A122" s="91" t="s">
        <v>81</v>
      </c>
      <c r="B122" s="83"/>
      <c r="C122" s="168">
        <f>K19</f>
        <v>4371059.32</v>
      </c>
      <c r="D122" s="32"/>
      <c r="E122" s="169"/>
      <c r="G122" s="96"/>
      <c r="H122" s="96"/>
      <c r="I122" s="220"/>
      <c r="J122" s="42"/>
      <c r="K122" s="252"/>
      <c r="L122" s="33"/>
      <c r="M122" s="34"/>
    </row>
    <row r="123" spans="1:13" s="35" customFormat="1">
      <c r="A123" s="91" t="s">
        <v>94</v>
      </c>
      <c r="B123" s="83"/>
      <c r="C123" s="109">
        <f>-K114</f>
        <v>-4913075.6100000003</v>
      </c>
      <c r="D123" s="32"/>
      <c r="E123" s="169"/>
      <c r="G123" s="96"/>
      <c r="H123" s="96"/>
      <c r="I123" s="96"/>
      <c r="J123" s="42"/>
      <c r="K123" s="252"/>
      <c r="L123" s="33"/>
      <c r="M123" s="34"/>
    </row>
    <row r="124" spans="1:13" s="35" customFormat="1" ht="18" customHeight="1">
      <c r="A124" s="93" t="s">
        <v>120</v>
      </c>
      <c r="B124" s="83"/>
      <c r="C124" s="255">
        <f>SUM(C121:C123)</f>
        <v>535942.91999999993</v>
      </c>
      <c r="D124" s="171"/>
      <c r="E124" s="169"/>
      <c r="G124" s="96"/>
      <c r="H124" s="96"/>
      <c r="I124" s="96"/>
      <c r="J124" s="42"/>
      <c r="K124" s="252"/>
      <c r="L124" s="33"/>
      <c r="M124" s="34"/>
    </row>
    <row r="125" spans="1:13" s="35" customFormat="1" ht="5.0999999999999996" customHeight="1">
      <c r="A125" s="91"/>
      <c r="B125" s="83"/>
      <c r="C125" s="168"/>
      <c r="D125" s="32"/>
      <c r="E125" s="32"/>
      <c r="G125" s="118"/>
      <c r="H125" s="118"/>
      <c r="I125" s="96"/>
      <c r="J125" s="42"/>
      <c r="K125" s="252"/>
      <c r="L125" s="33"/>
      <c r="M125" s="34"/>
    </row>
    <row r="126" spans="1:13" s="35" customFormat="1" ht="5.0999999999999996" customHeight="1">
      <c r="A126" s="91"/>
      <c r="B126" s="83"/>
      <c r="C126" s="109"/>
      <c r="D126" s="32"/>
      <c r="E126" s="32"/>
      <c r="G126" s="96"/>
      <c r="H126" s="96"/>
      <c r="I126" s="96"/>
      <c r="J126" s="42"/>
      <c r="K126" s="252"/>
      <c r="L126" s="33"/>
      <c r="M126" s="34"/>
    </row>
    <row r="127" spans="1:13" s="35" customFormat="1" ht="6.95" customHeight="1">
      <c r="A127" s="91"/>
      <c r="B127" s="83"/>
      <c r="C127" s="168"/>
      <c r="D127" s="32"/>
      <c r="E127" s="32"/>
      <c r="G127" s="96"/>
      <c r="H127" s="96"/>
      <c r="I127" s="96"/>
      <c r="J127" s="42"/>
      <c r="K127" s="252"/>
      <c r="L127" s="33"/>
      <c r="M127" s="34"/>
    </row>
    <row r="128" spans="1:13" s="35" customFormat="1">
      <c r="A128" s="93" t="s">
        <v>187</v>
      </c>
      <c r="B128" s="88"/>
      <c r="C128" s="109">
        <f>C124+C125</f>
        <v>535942.91999999993</v>
      </c>
      <c r="D128" s="174"/>
      <c r="G128" s="96"/>
      <c r="H128" s="96"/>
      <c r="I128" s="96"/>
      <c r="J128" s="42"/>
      <c r="K128" s="252"/>
      <c r="L128" s="33"/>
      <c r="M128" s="34"/>
    </row>
    <row r="129" spans="1:13" s="35" customFormat="1" ht="6.95" customHeight="1" thickBot="1">
      <c r="A129" s="94"/>
      <c r="B129" s="87"/>
      <c r="C129" s="239"/>
      <c r="D129" s="174"/>
      <c r="G129" s="96"/>
      <c r="H129" s="96"/>
      <c r="I129" s="96"/>
      <c r="J129" s="42"/>
      <c r="K129" s="252"/>
      <c r="L129" s="33"/>
      <c r="M129" s="34"/>
    </row>
    <row r="130" spans="1:13">
      <c r="A130" s="43"/>
      <c r="C130" s="240"/>
      <c r="D130" s="174"/>
      <c r="G130" s="102"/>
      <c r="H130" s="102"/>
      <c r="I130" s="102"/>
      <c r="J130" s="102"/>
      <c r="L130" s="102"/>
      <c r="M130" s="102"/>
    </row>
    <row r="131" spans="1:13">
      <c r="A131" s="43"/>
      <c r="B131" s="43"/>
      <c r="C131" s="241"/>
      <c r="D131" s="174"/>
      <c r="G131" s="102"/>
      <c r="H131" s="102"/>
      <c r="I131" s="102"/>
      <c r="J131" s="102"/>
      <c r="L131" s="102"/>
      <c r="M131" s="102"/>
    </row>
    <row r="132" spans="1:13">
      <c r="A132" s="36"/>
      <c r="B132" s="178" t="s">
        <v>188</v>
      </c>
      <c r="C132" s="242"/>
      <c r="D132" s="174"/>
      <c r="E132" s="95"/>
      <c r="G132" s="102"/>
      <c r="H132" s="102"/>
      <c r="J132" s="102"/>
      <c r="L132" s="102"/>
      <c r="M132" s="102"/>
    </row>
    <row r="133" spans="1:13">
      <c r="A133" s="36"/>
      <c r="B133" s="43"/>
      <c r="C133" s="232"/>
      <c r="D133" s="174"/>
      <c r="E133" s="102"/>
      <c r="F133" s="102"/>
      <c r="G133" s="102"/>
      <c r="H133" s="102"/>
      <c r="I133" s="102"/>
      <c r="J133" s="102"/>
      <c r="L133" s="102"/>
      <c r="M133" s="102"/>
    </row>
    <row r="134" spans="1:13">
      <c r="A134" s="36"/>
      <c r="B134" s="43"/>
      <c r="C134" s="232"/>
      <c r="D134" s="174"/>
      <c r="E134" s="102"/>
      <c r="F134" s="102"/>
      <c r="G134" s="102"/>
      <c r="H134" s="102"/>
      <c r="I134" s="102"/>
      <c r="J134" s="102"/>
      <c r="L134" s="102"/>
      <c r="M134" s="102"/>
    </row>
    <row r="135" spans="1:13">
      <c r="A135" s="36"/>
      <c r="B135" s="43"/>
      <c r="D135" s="174"/>
      <c r="E135" s="102"/>
      <c r="F135" s="102"/>
      <c r="G135" s="102"/>
      <c r="H135" s="102"/>
      <c r="I135" s="102"/>
      <c r="J135" s="102"/>
      <c r="L135" s="102"/>
      <c r="M135" s="102"/>
    </row>
    <row r="136" spans="1:13">
      <c r="A136" s="36"/>
      <c r="B136" s="43"/>
      <c r="E136" s="102"/>
      <c r="F136" s="102"/>
      <c r="G136" s="102"/>
      <c r="H136" s="102"/>
      <c r="I136" s="102"/>
      <c r="J136" s="102"/>
      <c r="L136" s="102"/>
      <c r="M136" s="102"/>
    </row>
    <row r="137" spans="1:13">
      <c r="A137" s="164"/>
      <c r="B137" s="43"/>
      <c r="C137" s="234"/>
      <c r="D137" s="42"/>
      <c r="E137" s="95"/>
      <c r="F137" s="95"/>
      <c r="G137" s="102"/>
      <c r="H137" s="102"/>
      <c r="I137" s="102"/>
      <c r="J137" s="102"/>
      <c r="L137" s="102"/>
      <c r="M137" s="102"/>
    </row>
    <row r="138" spans="1:13">
      <c r="A138" s="164"/>
      <c r="B138" s="102"/>
      <c r="C138" s="235"/>
      <c r="D138" s="102"/>
      <c r="E138" s="95"/>
      <c r="F138" s="95"/>
      <c r="G138" s="102"/>
      <c r="H138" s="102"/>
      <c r="I138" s="102"/>
      <c r="J138" s="102"/>
      <c r="L138" s="102"/>
      <c r="M138" s="102"/>
    </row>
    <row r="139" spans="1:13" ht="18.75">
      <c r="A139" s="164"/>
      <c r="B139" s="103" t="s">
        <v>152</v>
      </c>
      <c r="C139" s="236" t="s">
        <v>153</v>
      </c>
      <c r="E139" s="103"/>
      <c r="F139" s="103"/>
      <c r="G139" s="182" t="s">
        <v>156</v>
      </c>
      <c r="H139" s="182"/>
      <c r="K139" s="254"/>
      <c r="L139" s="126"/>
      <c r="M139" s="103"/>
    </row>
    <row r="140" spans="1:13" ht="18.75">
      <c r="A140" s="164"/>
      <c r="B140" s="183" t="s">
        <v>154</v>
      </c>
      <c r="C140" s="237" t="s">
        <v>155</v>
      </c>
      <c r="E140" s="104"/>
      <c r="F140" s="145"/>
      <c r="G140" s="184" t="s">
        <v>148</v>
      </c>
      <c r="H140" s="184"/>
      <c r="K140" s="254"/>
      <c r="L140" s="104"/>
      <c r="M140" s="104"/>
    </row>
    <row r="141" spans="1:13" ht="18.75">
      <c r="A141" s="164"/>
      <c r="B141" s="104"/>
      <c r="D141" s="126"/>
      <c r="E141" s="104"/>
      <c r="F141" s="104"/>
      <c r="G141" s="104"/>
      <c r="H141" s="104"/>
      <c r="I141" s="104"/>
      <c r="J141" s="185"/>
      <c r="K141" s="254"/>
      <c r="L141" s="104"/>
      <c r="M141" s="104"/>
    </row>
    <row r="142" spans="1:13" ht="18.75">
      <c r="A142" s="164"/>
      <c r="B142" s="104"/>
      <c r="D142" s="104"/>
      <c r="F142" s="104"/>
      <c r="G142" s="104"/>
      <c r="H142" s="104"/>
      <c r="I142" s="104"/>
      <c r="J142" s="104"/>
      <c r="K142" s="254"/>
      <c r="M142" s="104"/>
    </row>
  </sheetData>
  <mergeCells count="3">
    <mergeCell ref="K6:K7"/>
    <mergeCell ref="A6:A7"/>
    <mergeCell ref="B6:B7"/>
  </mergeCells>
  <printOptions horizontalCentered="1"/>
  <pageMargins left="0" right="0" top="0.78740157480314965" bottom="0.98425196850393704" header="0.31496062992125984" footer="0.31496062992125984"/>
  <pageSetup scale="55" orientation="landscape" horizontalDpi="4294967293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2"/>
  <sheetViews>
    <sheetView showGridLines="0" tabSelected="1" zoomScale="75" zoomScaleNormal="75" workbookViewId="0">
      <selection activeCell="B11" sqref="B11"/>
    </sheetView>
  </sheetViews>
  <sheetFormatPr baseColWidth="10" defaultColWidth="11.42578125" defaultRowHeight="18"/>
  <cols>
    <col min="1" max="1" width="10.7109375" style="5" customWidth="1"/>
    <col min="2" max="2" width="64.7109375" style="5" customWidth="1"/>
    <col min="3" max="3" width="19.28515625" style="233" customWidth="1"/>
    <col min="4" max="9" width="16.42578125" style="5" customWidth="1"/>
    <col min="10" max="10" width="19.28515625" style="5" customWidth="1"/>
    <col min="11" max="11" width="19.28515625" style="253" customWidth="1"/>
    <col min="12" max="12" width="19.28515625" style="5" customWidth="1"/>
    <col min="13" max="13" width="12.7109375" style="5" customWidth="1"/>
    <col min="14" max="14" width="7" style="5" customWidth="1"/>
    <col min="15" max="15" width="19.5703125" style="5" bestFit="1" customWidth="1"/>
    <col min="16" max="16" width="15.42578125" style="5" bestFit="1" customWidth="1"/>
    <col min="17" max="16384" width="11.42578125" style="5"/>
  </cols>
  <sheetData>
    <row r="1" spans="1:15">
      <c r="A1" s="97" t="s">
        <v>39</v>
      </c>
      <c r="B1" s="97"/>
      <c r="C1" s="224"/>
      <c r="D1" s="97"/>
      <c r="E1" s="97"/>
      <c r="F1" s="97"/>
      <c r="G1" s="97"/>
      <c r="H1" s="97"/>
      <c r="I1" s="97"/>
      <c r="J1" s="97"/>
      <c r="K1" s="243"/>
      <c r="L1" s="97"/>
      <c r="M1" s="97"/>
    </row>
    <row r="2" spans="1:15">
      <c r="A2" s="97" t="s">
        <v>119</v>
      </c>
      <c r="B2" s="97"/>
      <c r="C2" s="224"/>
      <c r="D2" s="97"/>
      <c r="E2" s="97"/>
      <c r="F2" s="97"/>
      <c r="G2" s="97"/>
      <c r="H2" s="97"/>
      <c r="I2" s="97"/>
      <c r="J2" s="97"/>
      <c r="K2" s="243"/>
      <c r="L2" s="97"/>
      <c r="M2" s="97"/>
    </row>
    <row r="3" spans="1:15">
      <c r="A3" s="97" t="s">
        <v>186</v>
      </c>
      <c r="B3" s="97"/>
      <c r="C3" s="224"/>
      <c r="D3" s="97"/>
      <c r="E3" s="97"/>
      <c r="F3" s="97"/>
      <c r="G3" s="97"/>
      <c r="H3" s="97"/>
      <c r="I3" s="97"/>
      <c r="J3" s="97"/>
      <c r="K3" s="243"/>
      <c r="L3" s="97"/>
      <c r="M3" s="97"/>
    </row>
    <row r="4" spans="1:15" ht="17.850000000000001" customHeight="1">
      <c r="A4" s="97" t="s">
        <v>0</v>
      </c>
      <c r="B4" s="97"/>
      <c r="C4" s="224"/>
      <c r="D4" s="97"/>
      <c r="E4" s="97"/>
      <c r="F4" s="97"/>
      <c r="G4" s="97"/>
      <c r="H4" s="97"/>
      <c r="I4" s="97"/>
      <c r="J4" s="97"/>
      <c r="K4" s="243"/>
      <c r="L4" s="97"/>
      <c r="M4" s="97"/>
    </row>
    <row r="5" spans="1:15" ht="17.850000000000001" customHeight="1" thickBot="1">
      <c r="A5" s="97"/>
      <c r="B5" s="97"/>
      <c r="C5" s="224"/>
      <c r="D5" s="97"/>
      <c r="E5" s="97"/>
      <c r="F5" s="97"/>
      <c r="G5" s="97"/>
      <c r="H5" s="97"/>
      <c r="I5" s="97"/>
      <c r="J5" s="97"/>
      <c r="K5" s="243"/>
      <c r="L5" s="97"/>
      <c r="M5" s="97"/>
    </row>
    <row r="6" spans="1:15" ht="18.75" thickBot="1">
      <c r="A6" s="260" t="s">
        <v>5</v>
      </c>
      <c r="B6" s="262" t="s">
        <v>40</v>
      </c>
      <c r="C6" s="225" t="s">
        <v>1</v>
      </c>
      <c r="D6" s="256" t="s">
        <v>171</v>
      </c>
      <c r="E6" s="256"/>
      <c r="F6" s="256" t="s">
        <v>191</v>
      </c>
      <c r="G6" s="256"/>
      <c r="H6" s="256" t="s">
        <v>192</v>
      </c>
      <c r="I6" s="256"/>
      <c r="J6" s="3" t="s">
        <v>1</v>
      </c>
      <c r="K6" s="267" t="s">
        <v>2</v>
      </c>
      <c r="L6" s="4" t="s">
        <v>29</v>
      </c>
      <c r="M6" s="3" t="s">
        <v>31</v>
      </c>
    </row>
    <row r="7" spans="1:15" ht="18.75" thickBot="1">
      <c r="A7" s="261"/>
      <c r="B7" s="263"/>
      <c r="C7" s="226" t="s">
        <v>3</v>
      </c>
      <c r="D7" s="7" t="s">
        <v>145</v>
      </c>
      <c r="E7" s="7" t="s">
        <v>146</v>
      </c>
      <c r="F7" s="7" t="s">
        <v>145</v>
      </c>
      <c r="G7" s="7" t="s">
        <v>146</v>
      </c>
      <c r="H7" s="7" t="s">
        <v>145</v>
      </c>
      <c r="I7" s="7" t="s">
        <v>146</v>
      </c>
      <c r="J7" s="6" t="s">
        <v>4</v>
      </c>
      <c r="K7" s="268"/>
      <c r="L7" s="8" t="s">
        <v>30</v>
      </c>
      <c r="M7" s="9" t="s">
        <v>32</v>
      </c>
    </row>
    <row r="8" spans="1:15">
      <c r="A8" s="69"/>
      <c r="B8" s="71" t="s">
        <v>116</v>
      </c>
      <c r="C8" s="99"/>
      <c r="D8" s="98"/>
      <c r="E8" s="98"/>
      <c r="F8" s="98"/>
      <c r="G8" s="98"/>
      <c r="H8" s="98"/>
      <c r="I8" s="98"/>
      <c r="J8" s="98"/>
      <c r="K8" s="244"/>
      <c r="L8" s="203"/>
      <c r="M8" s="98"/>
    </row>
    <row r="9" spans="1:15">
      <c r="A9" s="222"/>
      <c r="B9" s="223"/>
      <c r="C9" s="99"/>
      <c r="D9" s="98"/>
      <c r="E9" s="98"/>
      <c r="F9" s="98"/>
      <c r="G9" s="98"/>
      <c r="H9" s="98"/>
      <c r="I9" s="98"/>
      <c r="J9" s="98"/>
      <c r="K9" s="244"/>
      <c r="L9" s="203"/>
      <c r="M9" s="98"/>
    </row>
    <row r="10" spans="1:15">
      <c r="A10" s="60"/>
      <c r="B10" s="70" t="s">
        <v>117</v>
      </c>
      <c r="C10" s="227">
        <v>1077959.21</v>
      </c>
      <c r="D10" s="54"/>
      <c r="E10" s="52"/>
      <c r="F10" s="54"/>
      <c r="G10" s="54"/>
      <c r="H10" s="54"/>
      <c r="I10" s="54"/>
      <c r="J10" s="76">
        <f t="shared" ref="J10:J18" si="0">C10+D10-E10+F10-G10+H10-I10</f>
        <v>1077959.21</v>
      </c>
      <c r="K10" s="122">
        <v>0</v>
      </c>
      <c r="L10" s="203">
        <f t="shared" ref="L10:L17" si="1">J10-K10+I10</f>
        <v>1077959.21</v>
      </c>
      <c r="M10" s="146">
        <f>K10/K19</f>
        <v>0</v>
      </c>
    </row>
    <row r="11" spans="1:15">
      <c r="A11" s="60" t="s">
        <v>27</v>
      </c>
      <c r="B11" s="54" t="s">
        <v>54</v>
      </c>
      <c r="C11" s="227">
        <f>12500+60000+1000</f>
        <v>73500</v>
      </c>
      <c r="D11" s="52"/>
      <c r="E11" s="52"/>
      <c r="F11" s="52"/>
      <c r="G11" s="52"/>
      <c r="H11" s="52"/>
      <c r="I11" s="52"/>
      <c r="J11" s="76">
        <f t="shared" si="0"/>
        <v>73500</v>
      </c>
      <c r="K11" s="122">
        <f>74597+2295+20427+2295+16154+14527+540+7765+700+1490</f>
        <v>140790</v>
      </c>
      <c r="L11" s="189">
        <f t="shared" si="1"/>
        <v>-67290</v>
      </c>
      <c r="M11" s="146">
        <f>K11/K19</f>
        <v>2.9912997921253796E-2</v>
      </c>
    </row>
    <row r="12" spans="1:15">
      <c r="A12" s="148" t="s">
        <v>95</v>
      </c>
      <c r="B12" s="54" t="s">
        <v>96</v>
      </c>
      <c r="C12" s="227">
        <v>4000</v>
      </c>
      <c r="D12" s="52"/>
      <c r="E12" s="52"/>
      <c r="F12" s="52"/>
      <c r="G12" s="52"/>
      <c r="H12" s="52"/>
      <c r="I12" s="52"/>
      <c r="J12" s="76">
        <f t="shared" si="0"/>
        <v>4000</v>
      </c>
      <c r="K12" s="122">
        <f>1854.82+78.84+68.4+42.84+48.3+146.09</f>
        <v>2239.29</v>
      </c>
      <c r="L12" s="189">
        <f t="shared" si="1"/>
        <v>1760.71</v>
      </c>
      <c r="M12" s="146">
        <f>K12/K19</f>
        <v>4.757715541947895E-4</v>
      </c>
    </row>
    <row r="13" spans="1:15">
      <c r="A13" s="60" t="s">
        <v>97</v>
      </c>
      <c r="B13" s="54" t="s">
        <v>133</v>
      </c>
      <c r="C13" s="227">
        <v>3172620</v>
      </c>
      <c r="D13" s="52"/>
      <c r="E13" s="52"/>
      <c r="F13" s="52"/>
      <c r="G13" s="52"/>
      <c r="H13" s="52"/>
      <c r="I13" s="52"/>
      <c r="J13" s="76">
        <f t="shared" si="0"/>
        <v>3172620</v>
      </c>
      <c r="K13" s="122">
        <f>1049646.93+201855.31+0.02+321134.75+74623.9+159039.16+157812.93+280273.16</f>
        <v>2244386.1599999997</v>
      </c>
      <c r="L13" s="189">
        <f t="shared" si="1"/>
        <v>928233.84000000032</v>
      </c>
      <c r="M13" s="146">
        <f>K13/K19</f>
        <v>0.47685431165971148</v>
      </c>
      <c r="O13" s="149"/>
    </row>
    <row r="14" spans="1:15">
      <c r="A14" s="60" t="s">
        <v>97</v>
      </c>
      <c r="B14" s="54" t="s">
        <v>134</v>
      </c>
      <c r="C14" s="227">
        <v>1828000</v>
      </c>
      <c r="D14" s="52"/>
      <c r="E14" s="52"/>
      <c r="F14" s="202"/>
      <c r="G14" s="52"/>
      <c r="H14" s="52"/>
      <c r="I14" s="52"/>
      <c r="J14" s="76">
        <f t="shared" si="0"/>
        <v>1828000</v>
      </c>
      <c r="K14" s="122">
        <f>1537761.06+326014.9+109987.16+73961.54+67125.92+136672.54+53681.04</f>
        <v>2305204.16</v>
      </c>
      <c r="L14" s="189">
        <f t="shared" si="1"/>
        <v>-477204.16000000015</v>
      </c>
      <c r="M14" s="146">
        <f>K14/K19</f>
        <v>0.48977602987531504</v>
      </c>
      <c r="O14" s="149"/>
    </row>
    <row r="15" spans="1:15">
      <c r="A15" s="60" t="s">
        <v>97</v>
      </c>
      <c r="B15" s="54" t="s">
        <v>193</v>
      </c>
      <c r="C15" s="227">
        <v>20000</v>
      </c>
      <c r="D15" s="52"/>
      <c r="E15" s="52"/>
      <c r="F15" s="52"/>
      <c r="G15" s="52"/>
      <c r="H15" s="52"/>
      <c r="I15" s="52"/>
      <c r="J15" s="76">
        <f t="shared" si="0"/>
        <v>20000</v>
      </c>
      <c r="K15" s="122">
        <v>14030</v>
      </c>
      <c r="L15" s="203">
        <f>J15-K15+I15</f>
        <v>5970</v>
      </c>
      <c r="M15" s="146">
        <v>0</v>
      </c>
      <c r="O15" s="149"/>
    </row>
    <row r="16" spans="1:15">
      <c r="A16" s="60" t="s">
        <v>97</v>
      </c>
      <c r="B16" s="54" t="s">
        <v>194</v>
      </c>
      <c r="C16" s="227">
        <v>0</v>
      </c>
      <c r="D16" s="52"/>
      <c r="E16" s="52"/>
      <c r="F16" s="52"/>
      <c r="G16" s="52"/>
      <c r="H16" s="52"/>
      <c r="I16" s="52"/>
      <c r="J16" s="76">
        <f t="shared" si="0"/>
        <v>0</v>
      </c>
      <c r="K16" s="122">
        <v>0</v>
      </c>
      <c r="L16" s="203">
        <f t="shared" si="1"/>
        <v>0</v>
      </c>
      <c r="M16" s="146">
        <v>0</v>
      </c>
      <c r="O16" s="149"/>
    </row>
    <row r="17" spans="1:15">
      <c r="A17" s="60" t="s">
        <v>97</v>
      </c>
      <c r="B17" s="54" t="s">
        <v>195</v>
      </c>
      <c r="C17" s="227">
        <v>0</v>
      </c>
      <c r="D17" s="52"/>
      <c r="E17" s="52"/>
      <c r="F17" s="52"/>
      <c r="G17" s="52"/>
      <c r="H17" s="52"/>
      <c r="I17" s="52"/>
      <c r="J17" s="76">
        <f t="shared" si="0"/>
        <v>0</v>
      </c>
      <c r="K17" s="122">
        <v>0</v>
      </c>
      <c r="L17" s="203">
        <f t="shared" si="1"/>
        <v>0</v>
      </c>
      <c r="M17" s="146">
        <v>0</v>
      </c>
      <c r="O17" s="149"/>
    </row>
    <row r="18" spans="1:15" ht="18.75" thickBot="1">
      <c r="A18" s="150"/>
      <c r="B18" s="151"/>
      <c r="C18" s="228">
        <v>0</v>
      </c>
      <c r="D18" s="128"/>
      <c r="E18" s="128"/>
      <c r="F18" s="128"/>
      <c r="G18" s="128"/>
      <c r="H18" s="128"/>
      <c r="I18" s="128"/>
      <c r="J18" s="76">
        <f t="shared" si="0"/>
        <v>0</v>
      </c>
      <c r="K18" s="122">
        <v>0</v>
      </c>
      <c r="L18" s="204">
        <f>-K18+I18</f>
        <v>0</v>
      </c>
      <c r="M18" s="152">
        <f>K18/K19</f>
        <v>0</v>
      </c>
      <c r="O18" s="149"/>
    </row>
    <row r="19" spans="1:15" ht="18.75" customHeight="1" thickBot="1">
      <c r="A19" s="68"/>
      <c r="B19" s="67" t="s">
        <v>6</v>
      </c>
      <c r="C19" s="63">
        <f t="shared" ref="C19:J19" si="2">SUM(C10:C18)</f>
        <v>6176079.21</v>
      </c>
      <c r="D19" s="63">
        <f t="shared" si="2"/>
        <v>0</v>
      </c>
      <c r="E19" s="63">
        <f t="shared" si="2"/>
        <v>0</v>
      </c>
      <c r="F19" s="63">
        <f t="shared" si="2"/>
        <v>0</v>
      </c>
      <c r="G19" s="63">
        <f t="shared" si="2"/>
        <v>0</v>
      </c>
      <c r="H19" s="63"/>
      <c r="I19" s="63">
        <f t="shared" si="2"/>
        <v>0</v>
      </c>
      <c r="J19" s="11">
        <f t="shared" si="2"/>
        <v>6176079.21</v>
      </c>
      <c r="K19" s="246">
        <f>ROUND((SUM(K10:K18)),2)</f>
        <v>4706649.6100000003</v>
      </c>
      <c r="L19" s="11">
        <f>SUM(L10:L18)</f>
        <v>1469429.6</v>
      </c>
      <c r="M19" s="12">
        <f>SUM(M18:M18)</f>
        <v>0</v>
      </c>
      <c r="O19" s="149"/>
    </row>
    <row r="20" spans="1:15">
      <c r="A20" s="141"/>
      <c r="B20" s="142"/>
      <c r="C20" s="229"/>
      <c r="D20" s="157"/>
      <c r="E20" s="98"/>
      <c r="F20" s="98"/>
      <c r="G20" s="98"/>
      <c r="H20" s="98"/>
      <c r="I20" s="98"/>
      <c r="J20" s="98"/>
      <c r="K20" s="247"/>
      <c r="L20" s="98"/>
      <c r="M20" s="98"/>
      <c r="O20" s="149"/>
    </row>
    <row r="21" spans="1:15">
      <c r="A21" s="222" t="s">
        <v>5</v>
      </c>
      <c r="B21" s="223" t="s">
        <v>115</v>
      </c>
      <c r="C21" s="99"/>
      <c r="D21" s="98"/>
      <c r="E21" s="98"/>
      <c r="F21" s="98"/>
      <c r="G21" s="98"/>
      <c r="H21" s="98"/>
      <c r="I21" s="98"/>
      <c r="J21" s="98"/>
      <c r="K21" s="247"/>
      <c r="L21" s="98"/>
      <c r="M21" s="98"/>
      <c r="O21" s="149"/>
    </row>
    <row r="22" spans="1:15">
      <c r="A22" s="222"/>
      <c r="B22" s="223"/>
      <c r="C22" s="99"/>
      <c r="D22" s="98"/>
      <c r="E22" s="98"/>
      <c r="F22" s="98"/>
      <c r="G22" s="98"/>
      <c r="H22" s="98"/>
      <c r="I22" s="98"/>
      <c r="J22" s="98"/>
      <c r="K22" s="247"/>
      <c r="L22" s="98"/>
      <c r="M22" s="98"/>
      <c r="O22" s="149"/>
    </row>
    <row r="23" spans="1:15">
      <c r="A23" s="59">
        <v>0</v>
      </c>
      <c r="B23" s="59" t="s">
        <v>9</v>
      </c>
      <c r="C23" s="99"/>
      <c r="D23" s="76"/>
      <c r="E23" s="76"/>
      <c r="F23" s="76"/>
      <c r="G23" s="76"/>
      <c r="H23" s="76"/>
      <c r="I23" s="76"/>
      <c r="J23" s="76"/>
      <c r="K23" s="244"/>
      <c r="L23" s="122"/>
      <c r="M23" s="132"/>
      <c r="O23" s="149"/>
    </row>
    <row r="24" spans="1:15">
      <c r="A24" s="53" t="s">
        <v>14</v>
      </c>
      <c r="B24" s="54" t="s">
        <v>84</v>
      </c>
      <c r="C24" s="99">
        <v>574724</v>
      </c>
      <c r="D24" s="76"/>
      <c r="E24" s="76"/>
      <c r="F24" s="76"/>
      <c r="G24" s="76"/>
      <c r="H24" s="76"/>
      <c r="I24" s="76"/>
      <c r="J24" s="76">
        <f t="shared" ref="J24:J70" si="3">C24+D24-E24+F24-G24+H24-I24</f>
        <v>574724</v>
      </c>
      <c r="K24" s="122">
        <v>506120.64999999997</v>
      </c>
      <c r="L24" s="122">
        <f>J24-K24</f>
        <v>68603.350000000035</v>
      </c>
      <c r="M24" s="132">
        <f t="shared" ref="M24:M35" si="4">K24/$K$114</f>
        <v>9.8698028381879188E-2</v>
      </c>
      <c r="O24" s="149"/>
    </row>
    <row r="25" spans="1:15">
      <c r="A25" s="53" t="s">
        <v>34</v>
      </c>
      <c r="B25" s="54" t="s">
        <v>35</v>
      </c>
      <c r="C25" s="99">
        <v>4500</v>
      </c>
      <c r="D25" s="76"/>
      <c r="E25" s="76"/>
      <c r="F25" s="76"/>
      <c r="G25" s="76"/>
      <c r="H25" s="76"/>
      <c r="I25" s="76"/>
      <c r="J25" s="76">
        <f t="shared" si="3"/>
        <v>4500</v>
      </c>
      <c r="K25" s="122">
        <v>4500</v>
      </c>
      <c r="L25" s="122">
        <f t="shared" ref="L25:L70" si="5">J25-K25</f>
        <v>0</v>
      </c>
      <c r="M25" s="132">
        <f t="shared" si="4"/>
        <v>8.7754002473215892E-4</v>
      </c>
      <c r="O25" s="149"/>
    </row>
    <row r="26" spans="1:15">
      <c r="A26" s="53" t="s">
        <v>15</v>
      </c>
      <c r="B26" s="54" t="s">
        <v>43</v>
      </c>
      <c r="C26" s="99">
        <v>62500</v>
      </c>
      <c r="D26" s="76">
        <v>36000</v>
      </c>
      <c r="E26" s="76"/>
      <c r="F26" s="76"/>
      <c r="G26" s="76"/>
      <c r="H26" s="76"/>
      <c r="I26" s="76"/>
      <c r="J26" s="76">
        <f t="shared" si="3"/>
        <v>98500</v>
      </c>
      <c r="K26" s="122">
        <v>91001.74</v>
      </c>
      <c r="L26" s="122">
        <f t="shared" si="5"/>
        <v>7498.2599999999948</v>
      </c>
      <c r="M26" s="132">
        <f t="shared" si="4"/>
        <v>1.7746148704504333E-2</v>
      </c>
      <c r="O26" s="149"/>
    </row>
    <row r="27" spans="1:15">
      <c r="A27" s="53" t="s">
        <v>135</v>
      </c>
      <c r="B27" s="54" t="s">
        <v>136</v>
      </c>
      <c r="C27" s="99">
        <v>357550</v>
      </c>
      <c r="D27" s="76"/>
      <c r="E27" s="76">
        <v>357550</v>
      </c>
      <c r="F27" s="76"/>
      <c r="G27" s="76"/>
      <c r="H27" s="76"/>
      <c r="I27" s="76"/>
      <c r="J27" s="76">
        <f t="shared" si="3"/>
        <v>0</v>
      </c>
      <c r="K27" s="122">
        <v>0</v>
      </c>
      <c r="L27" s="122">
        <f t="shared" si="5"/>
        <v>0</v>
      </c>
      <c r="M27" s="132">
        <f t="shared" si="4"/>
        <v>0</v>
      </c>
      <c r="O27" s="149"/>
    </row>
    <row r="28" spans="1:15">
      <c r="A28" s="53" t="s">
        <v>137</v>
      </c>
      <c r="B28" s="54" t="s">
        <v>138</v>
      </c>
      <c r="C28" s="99">
        <v>5750</v>
      </c>
      <c r="D28" s="76"/>
      <c r="E28" s="76"/>
      <c r="F28" s="76"/>
      <c r="G28" s="76"/>
      <c r="H28" s="76"/>
      <c r="I28" s="76"/>
      <c r="J28" s="76">
        <f t="shared" si="3"/>
        <v>5750</v>
      </c>
      <c r="K28" s="122">
        <v>0</v>
      </c>
      <c r="L28" s="122">
        <f t="shared" si="5"/>
        <v>5750</v>
      </c>
      <c r="M28" s="132">
        <f t="shared" si="4"/>
        <v>0</v>
      </c>
      <c r="O28" s="149"/>
    </row>
    <row r="29" spans="1:15">
      <c r="A29" s="53" t="s">
        <v>100</v>
      </c>
      <c r="B29" s="54" t="s">
        <v>101</v>
      </c>
      <c r="C29" s="99">
        <v>15400</v>
      </c>
      <c r="D29" s="76"/>
      <c r="E29" s="76"/>
      <c r="F29" s="76"/>
      <c r="G29" s="76"/>
      <c r="H29" s="76"/>
      <c r="I29" s="76"/>
      <c r="J29" s="76">
        <f t="shared" si="3"/>
        <v>15400</v>
      </c>
      <c r="K29" s="122">
        <v>7947.37</v>
      </c>
      <c r="L29" s="122">
        <f t="shared" si="5"/>
        <v>7452.63</v>
      </c>
      <c r="M29" s="132">
        <f t="shared" si="4"/>
        <v>1.5498078369679152E-3</v>
      </c>
      <c r="O29" s="149"/>
    </row>
    <row r="30" spans="1:15">
      <c r="A30" s="53" t="s">
        <v>21</v>
      </c>
      <c r="B30" s="54" t="s">
        <v>22</v>
      </c>
      <c r="C30" s="99">
        <v>37627.240000000005</v>
      </c>
      <c r="D30" s="76"/>
      <c r="E30" s="76"/>
      <c r="F30" s="76"/>
      <c r="G30" s="76"/>
      <c r="H30" s="76"/>
      <c r="I30" s="76"/>
      <c r="J30" s="76">
        <f t="shared" si="3"/>
        <v>37627.240000000005</v>
      </c>
      <c r="K30" s="122">
        <v>23374.870000000003</v>
      </c>
      <c r="L30" s="122">
        <f t="shared" si="5"/>
        <v>14252.370000000003</v>
      </c>
      <c r="M30" s="132">
        <f t="shared" si="4"/>
        <v>4.5583075550913342E-3</v>
      </c>
      <c r="O30" s="149"/>
    </row>
    <row r="31" spans="1:15">
      <c r="A31" s="53" t="s">
        <v>16</v>
      </c>
      <c r="B31" s="54" t="s">
        <v>125</v>
      </c>
      <c r="C31" s="99">
        <v>111250.887308</v>
      </c>
      <c r="D31" s="76"/>
      <c r="E31" s="76"/>
      <c r="F31" s="76"/>
      <c r="G31" s="76"/>
      <c r="H31" s="76"/>
      <c r="I31" s="76"/>
      <c r="J31" s="76">
        <f t="shared" si="3"/>
        <v>111250.887308</v>
      </c>
      <c r="K31" s="122">
        <v>56481.05</v>
      </c>
      <c r="L31" s="122">
        <f t="shared" si="5"/>
        <v>54769.837308000002</v>
      </c>
      <c r="M31" s="132">
        <f t="shared" si="4"/>
        <v>1.1014307114199625E-2</v>
      </c>
      <c r="O31" s="149"/>
    </row>
    <row r="32" spans="1:15">
      <c r="A32" s="53" t="s">
        <v>17</v>
      </c>
      <c r="B32" s="54" t="s">
        <v>126</v>
      </c>
      <c r="C32" s="99">
        <v>10426.5124</v>
      </c>
      <c r="D32" s="76"/>
      <c r="E32" s="76"/>
      <c r="F32" s="76"/>
      <c r="G32" s="76"/>
      <c r="H32" s="76"/>
      <c r="I32" s="76"/>
      <c r="J32" s="76">
        <f t="shared" si="3"/>
        <v>10426.5124</v>
      </c>
      <c r="K32" s="122">
        <v>5293.4499999999989</v>
      </c>
      <c r="L32" s="122">
        <f t="shared" si="5"/>
        <v>5133.0624000000007</v>
      </c>
      <c r="M32" s="132">
        <f t="shared" si="4"/>
        <v>1.0322698319818768E-3</v>
      </c>
      <c r="O32" s="149"/>
    </row>
    <row r="33" spans="1:15">
      <c r="A33" s="53" t="s">
        <v>18</v>
      </c>
      <c r="B33" s="55" t="s">
        <v>82</v>
      </c>
      <c r="C33" s="99">
        <v>78272.833333333328</v>
      </c>
      <c r="D33" s="76"/>
      <c r="E33" s="76"/>
      <c r="F33" s="76"/>
      <c r="G33" s="76"/>
      <c r="H33" s="76"/>
      <c r="I33" s="76"/>
      <c r="J33" s="76">
        <f t="shared" si="3"/>
        <v>78272.833333333328</v>
      </c>
      <c r="K33" s="122">
        <v>42885.350000000006</v>
      </c>
      <c r="L33" s="122">
        <f t="shared" si="5"/>
        <v>35387.483333333323</v>
      </c>
      <c r="M33" s="132">
        <f t="shared" si="4"/>
        <v>8.3630246888105105E-3</v>
      </c>
      <c r="O33" s="149"/>
    </row>
    <row r="34" spans="1:15">
      <c r="A34" s="53" t="s">
        <v>19</v>
      </c>
      <c r="B34" s="54" t="s">
        <v>85</v>
      </c>
      <c r="C34" s="99">
        <v>78272.833333333328</v>
      </c>
      <c r="D34" s="76"/>
      <c r="E34" s="76"/>
      <c r="F34" s="76"/>
      <c r="G34" s="76"/>
      <c r="H34" s="76"/>
      <c r="I34" s="76"/>
      <c r="J34" s="76">
        <f t="shared" si="3"/>
        <v>78272.833333333328</v>
      </c>
      <c r="K34" s="122">
        <v>41431.490000000005</v>
      </c>
      <c r="L34" s="122">
        <f t="shared" si="5"/>
        <v>36841.343333333323</v>
      </c>
      <c r="M34" s="132">
        <f t="shared" si="4"/>
        <v>8.0795090576200445E-3</v>
      </c>
      <c r="O34" s="149"/>
    </row>
    <row r="35" spans="1:15">
      <c r="A35" s="53" t="s">
        <v>20</v>
      </c>
      <c r="B35" s="54" t="s">
        <v>83</v>
      </c>
      <c r="C35" s="99">
        <v>4800</v>
      </c>
      <c r="D35" s="76"/>
      <c r="E35" s="76"/>
      <c r="F35" s="76"/>
      <c r="G35" s="76"/>
      <c r="H35" s="76"/>
      <c r="I35" s="76"/>
      <c r="J35" s="76">
        <f t="shared" si="3"/>
        <v>4800</v>
      </c>
      <c r="K35" s="122">
        <v>3225.21</v>
      </c>
      <c r="L35" s="122">
        <f t="shared" si="5"/>
        <v>1574.79</v>
      </c>
      <c r="M35" s="132">
        <f t="shared" si="4"/>
        <v>6.2894463625920145E-4</v>
      </c>
      <c r="O35" s="149"/>
    </row>
    <row r="36" spans="1:15">
      <c r="A36" s="53"/>
      <c r="B36" s="54"/>
      <c r="C36" s="99"/>
      <c r="D36" s="76"/>
      <c r="E36" s="76"/>
      <c r="F36" s="76"/>
      <c r="G36" s="76"/>
      <c r="H36" s="76"/>
      <c r="I36" s="76"/>
      <c r="J36" s="76"/>
      <c r="K36" s="244"/>
      <c r="L36" s="122"/>
      <c r="M36" s="132"/>
      <c r="O36" s="149"/>
    </row>
    <row r="37" spans="1:15">
      <c r="A37" s="59">
        <v>1</v>
      </c>
      <c r="B37" s="59" t="s">
        <v>10</v>
      </c>
      <c r="C37" s="99"/>
      <c r="D37" s="76"/>
      <c r="E37" s="76"/>
      <c r="F37" s="76"/>
      <c r="G37" s="76"/>
      <c r="H37" s="76"/>
      <c r="I37" s="76"/>
      <c r="J37" s="76"/>
      <c r="K37" s="248"/>
      <c r="L37" s="122"/>
      <c r="M37" s="132"/>
      <c r="O37" s="149"/>
    </row>
    <row r="38" spans="1:15">
      <c r="A38" s="60">
        <v>111</v>
      </c>
      <c r="B38" s="54" t="s">
        <v>44</v>
      </c>
      <c r="C38" s="99">
        <v>13125</v>
      </c>
      <c r="D38" s="76"/>
      <c r="E38" s="76"/>
      <c r="F38" s="76"/>
      <c r="G38" s="76"/>
      <c r="H38" s="76"/>
      <c r="I38" s="76"/>
      <c r="J38" s="76">
        <f t="shared" si="3"/>
        <v>13125</v>
      </c>
      <c r="K38" s="244">
        <v>7492.3200000000006</v>
      </c>
      <c r="L38" s="122">
        <f t="shared" si="5"/>
        <v>5632.6799999999994</v>
      </c>
      <c r="M38" s="132">
        <f t="shared" ref="M38:M70" si="6">K38/$K$114</f>
        <v>1.4610690395780554E-3</v>
      </c>
      <c r="O38" s="149"/>
    </row>
    <row r="39" spans="1:15">
      <c r="A39" s="60">
        <v>113</v>
      </c>
      <c r="B39" s="54" t="s">
        <v>53</v>
      </c>
      <c r="C39" s="99">
        <v>24780</v>
      </c>
      <c r="D39" s="76"/>
      <c r="E39" s="76"/>
      <c r="F39" s="76"/>
      <c r="G39" s="76"/>
      <c r="H39" s="76"/>
      <c r="I39" s="76"/>
      <c r="J39" s="76">
        <f t="shared" si="3"/>
        <v>24780</v>
      </c>
      <c r="K39" s="244">
        <v>20139</v>
      </c>
      <c r="L39" s="122">
        <f t="shared" si="5"/>
        <v>4641</v>
      </c>
      <c r="M39" s="132">
        <f t="shared" si="6"/>
        <v>3.9272841240179891E-3</v>
      </c>
      <c r="O39" s="149"/>
    </row>
    <row r="40" spans="1:15">
      <c r="A40" s="60">
        <v>114</v>
      </c>
      <c r="B40" s="54" t="s">
        <v>124</v>
      </c>
      <c r="C40" s="99">
        <v>5000</v>
      </c>
      <c r="D40" s="76"/>
      <c r="E40" s="76"/>
      <c r="F40" s="76"/>
      <c r="G40" s="76"/>
      <c r="H40" s="76"/>
      <c r="I40" s="76"/>
      <c r="J40" s="76">
        <f t="shared" si="3"/>
        <v>5000</v>
      </c>
      <c r="K40" s="244">
        <v>557</v>
      </c>
      <c r="L40" s="122">
        <f t="shared" si="5"/>
        <v>4443</v>
      </c>
      <c r="M40" s="132">
        <f t="shared" si="6"/>
        <v>1.0861995417240279E-4</v>
      </c>
      <c r="O40" s="149"/>
    </row>
    <row r="41" spans="1:15">
      <c r="A41" s="60">
        <v>121</v>
      </c>
      <c r="B41" s="54" t="s">
        <v>55</v>
      </c>
      <c r="C41" s="99">
        <v>20000</v>
      </c>
      <c r="D41" s="76">
        <v>30000</v>
      </c>
      <c r="E41" s="76"/>
      <c r="F41" s="76"/>
      <c r="G41" s="76"/>
      <c r="H41" s="76"/>
      <c r="I41" s="76"/>
      <c r="J41" s="76">
        <f t="shared" si="3"/>
        <v>50000</v>
      </c>
      <c r="K41" s="244">
        <v>23304</v>
      </c>
      <c r="L41" s="122">
        <f t="shared" si="5"/>
        <v>26696</v>
      </c>
      <c r="M41" s="132">
        <f t="shared" si="6"/>
        <v>4.5444872747462742E-3</v>
      </c>
      <c r="O41" s="149"/>
    </row>
    <row r="42" spans="1:15">
      <c r="A42" s="60">
        <v>122</v>
      </c>
      <c r="B42" s="54" t="s">
        <v>86</v>
      </c>
      <c r="C42" s="99">
        <v>17950</v>
      </c>
      <c r="D42" s="76">
        <v>10000</v>
      </c>
      <c r="E42" s="76"/>
      <c r="F42" s="76"/>
      <c r="G42" s="76"/>
      <c r="H42" s="76"/>
      <c r="I42" s="76"/>
      <c r="J42" s="76">
        <f t="shared" si="3"/>
        <v>27950</v>
      </c>
      <c r="K42" s="244">
        <v>26634</v>
      </c>
      <c r="L42" s="122">
        <f t="shared" si="5"/>
        <v>1316</v>
      </c>
      <c r="M42" s="132">
        <f t="shared" si="6"/>
        <v>5.1938668930480714E-3</v>
      </c>
      <c r="N42" s="159"/>
      <c r="O42" s="149"/>
    </row>
    <row r="43" spans="1:15">
      <c r="A43" s="60">
        <v>131</v>
      </c>
      <c r="B43" s="54" t="s">
        <v>56</v>
      </c>
      <c r="C43" s="99">
        <v>1102000</v>
      </c>
      <c r="D43" s="76">
        <v>375000</v>
      </c>
      <c r="E43" s="76"/>
      <c r="F43" s="76">
        <v>365000</v>
      </c>
      <c r="G43" s="76"/>
      <c r="H43" s="76"/>
      <c r="I43" s="76"/>
      <c r="J43" s="76">
        <f t="shared" si="3"/>
        <v>1842000</v>
      </c>
      <c r="K43" s="244">
        <v>1820729.08</v>
      </c>
      <c r="L43" s="122">
        <f t="shared" si="5"/>
        <v>21270.919999999925</v>
      </c>
      <c r="M43" s="132">
        <f t="shared" si="6"/>
        <v>0.35505836486528025</v>
      </c>
      <c r="O43" s="149"/>
    </row>
    <row r="44" spans="1:15">
      <c r="A44" s="60">
        <v>133</v>
      </c>
      <c r="B44" s="54" t="s">
        <v>57</v>
      </c>
      <c r="C44" s="99">
        <v>4546.67</v>
      </c>
      <c r="D44" s="76"/>
      <c r="E44" s="76"/>
      <c r="F44" s="76"/>
      <c r="G44" s="76"/>
      <c r="H44" s="76"/>
      <c r="I44" s="76"/>
      <c r="J44" s="76">
        <f t="shared" si="3"/>
        <v>4546.67</v>
      </c>
      <c r="K44" s="244">
        <v>0</v>
      </c>
      <c r="L44" s="122">
        <f t="shared" si="5"/>
        <v>4546.67</v>
      </c>
      <c r="M44" s="132">
        <f t="shared" si="6"/>
        <v>0</v>
      </c>
      <c r="O44" s="149"/>
    </row>
    <row r="45" spans="1:15">
      <c r="A45" s="60">
        <v>134</v>
      </c>
      <c r="B45" s="54" t="s">
        <v>87</v>
      </c>
      <c r="C45" s="99">
        <v>0</v>
      </c>
      <c r="D45" s="76"/>
      <c r="E45" s="76"/>
      <c r="F45" s="76"/>
      <c r="G45" s="76"/>
      <c r="H45" s="76"/>
      <c r="I45" s="76"/>
      <c r="J45" s="76">
        <f t="shared" si="3"/>
        <v>0</v>
      </c>
      <c r="K45" s="244">
        <v>0</v>
      </c>
      <c r="L45" s="122">
        <f t="shared" si="5"/>
        <v>0</v>
      </c>
      <c r="M45" s="132">
        <f t="shared" si="6"/>
        <v>0</v>
      </c>
      <c r="O45" s="149"/>
    </row>
    <row r="46" spans="1:15">
      <c r="A46" s="60">
        <v>135</v>
      </c>
      <c r="B46" s="54" t="s">
        <v>102</v>
      </c>
      <c r="C46" s="99">
        <v>124000</v>
      </c>
      <c r="D46" s="76"/>
      <c r="E46" s="76"/>
      <c r="F46" s="76">
        <v>70000</v>
      </c>
      <c r="G46" s="76"/>
      <c r="H46" s="76"/>
      <c r="I46" s="76"/>
      <c r="J46" s="76">
        <f t="shared" si="3"/>
        <v>194000</v>
      </c>
      <c r="K46" s="244">
        <v>146183.93000000005</v>
      </c>
      <c r="L46" s="122">
        <f t="shared" si="5"/>
        <v>47816.069999999949</v>
      </c>
      <c r="M46" s="132">
        <f t="shared" si="6"/>
        <v>2.8507166566143164E-2</v>
      </c>
      <c r="O46" s="149"/>
    </row>
    <row r="47" spans="1:15">
      <c r="A47" s="60">
        <v>141</v>
      </c>
      <c r="B47" s="54" t="s">
        <v>76</v>
      </c>
      <c r="C47" s="99">
        <v>374045.69</v>
      </c>
      <c r="D47" s="76">
        <v>77000</v>
      </c>
      <c r="E47" s="76"/>
      <c r="F47" s="76">
        <v>223000</v>
      </c>
      <c r="G47" s="76"/>
      <c r="H47" s="76"/>
      <c r="I47" s="76">
        <v>45250</v>
      </c>
      <c r="J47" s="76">
        <f t="shared" si="3"/>
        <v>628795.68999999994</v>
      </c>
      <c r="K47" s="244">
        <v>508439.3600000001</v>
      </c>
      <c r="L47" s="122">
        <f t="shared" si="5"/>
        <v>120356.32999999984</v>
      </c>
      <c r="M47" s="132">
        <f t="shared" si="6"/>
        <v>9.915019745537848E-2</v>
      </c>
      <c r="O47" s="149"/>
    </row>
    <row r="48" spans="1:15">
      <c r="A48" s="60">
        <v>142</v>
      </c>
      <c r="B48" s="54" t="s">
        <v>23</v>
      </c>
      <c r="C48" s="99">
        <v>32600</v>
      </c>
      <c r="D48" s="76"/>
      <c r="E48" s="76"/>
      <c r="F48" s="76"/>
      <c r="G48" s="76"/>
      <c r="H48" s="76"/>
      <c r="I48" s="76">
        <v>20000</v>
      </c>
      <c r="J48" s="76">
        <f t="shared" si="3"/>
        <v>12600</v>
      </c>
      <c r="K48" s="244">
        <v>4285.71</v>
      </c>
      <c r="L48" s="122">
        <f t="shared" si="5"/>
        <v>8314.2900000000009</v>
      </c>
      <c r="M48" s="132">
        <f t="shared" si="6"/>
        <v>8.357515687544136E-4</v>
      </c>
      <c r="O48" s="149"/>
    </row>
    <row r="49" spans="1:15">
      <c r="A49" s="60">
        <v>143</v>
      </c>
      <c r="B49" s="54" t="s">
        <v>127</v>
      </c>
      <c r="C49" s="99">
        <v>37071.31</v>
      </c>
      <c r="D49" s="76"/>
      <c r="E49" s="76"/>
      <c r="F49" s="76"/>
      <c r="G49" s="76"/>
      <c r="H49" s="76">
        <v>12000</v>
      </c>
      <c r="I49" s="76"/>
      <c r="J49" s="76">
        <f t="shared" si="3"/>
        <v>49071.31</v>
      </c>
      <c r="K49" s="244">
        <v>36462.980000000003</v>
      </c>
      <c r="L49" s="122">
        <f t="shared" si="5"/>
        <v>12608.329999999994</v>
      </c>
      <c r="M49" s="132">
        <f t="shared" si="6"/>
        <v>7.1106054157796042E-3</v>
      </c>
      <c r="O49" s="149"/>
    </row>
    <row r="50" spans="1:15">
      <c r="A50" s="60">
        <v>151</v>
      </c>
      <c r="B50" s="54" t="s">
        <v>139</v>
      </c>
      <c r="C50" s="99">
        <v>70560</v>
      </c>
      <c r="D50" s="76"/>
      <c r="E50" s="76"/>
      <c r="F50" s="76"/>
      <c r="G50" s="76"/>
      <c r="H50" s="76"/>
      <c r="I50" s="76"/>
      <c r="J50" s="76">
        <f t="shared" si="3"/>
        <v>70560</v>
      </c>
      <c r="K50" s="244">
        <v>70560</v>
      </c>
      <c r="L50" s="122">
        <f t="shared" si="5"/>
        <v>0</v>
      </c>
      <c r="M50" s="132">
        <f t="shared" si="6"/>
        <v>1.3759827587800252E-2</v>
      </c>
      <c r="O50" s="149"/>
    </row>
    <row r="51" spans="1:15">
      <c r="A51" s="60">
        <v>155</v>
      </c>
      <c r="B51" s="54" t="s">
        <v>36</v>
      </c>
      <c r="C51" s="99">
        <v>0</v>
      </c>
      <c r="D51" s="76"/>
      <c r="E51" s="76"/>
      <c r="F51" s="76"/>
      <c r="G51" s="76"/>
      <c r="H51" s="76"/>
      <c r="I51" s="76"/>
      <c r="J51" s="76">
        <f t="shared" si="3"/>
        <v>0</v>
      </c>
      <c r="K51" s="244">
        <v>0</v>
      </c>
      <c r="L51" s="122">
        <f t="shared" si="5"/>
        <v>0</v>
      </c>
      <c r="M51" s="132">
        <f t="shared" si="6"/>
        <v>0</v>
      </c>
      <c r="O51" s="149"/>
    </row>
    <row r="52" spans="1:15">
      <c r="A52" s="60">
        <v>158</v>
      </c>
      <c r="B52" s="54" t="s">
        <v>103</v>
      </c>
      <c r="C52" s="99">
        <v>4000</v>
      </c>
      <c r="D52" s="76">
        <v>2550</v>
      </c>
      <c r="E52" s="76"/>
      <c r="F52" s="76"/>
      <c r="G52" s="76"/>
      <c r="H52" s="76"/>
      <c r="I52" s="76"/>
      <c r="J52" s="76">
        <f t="shared" si="3"/>
        <v>6550</v>
      </c>
      <c r="K52" s="244">
        <v>5250</v>
      </c>
      <c r="L52" s="122">
        <f t="shared" si="5"/>
        <v>1300</v>
      </c>
      <c r="M52" s="132">
        <f t="shared" si="6"/>
        <v>1.0237966955208521E-3</v>
      </c>
      <c r="O52" s="149"/>
    </row>
    <row r="53" spans="1:15">
      <c r="A53" s="60">
        <v>162</v>
      </c>
      <c r="B53" s="54" t="s">
        <v>58</v>
      </c>
      <c r="C53" s="99">
        <v>1350</v>
      </c>
      <c r="D53" s="76"/>
      <c r="E53" s="76"/>
      <c r="F53" s="76"/>
      <c r="G53" s="76"/>
      <c r="H53" s="76"/>
      <c r="I53" s="76"/>
      <c r="J53" s="76">
        <f t="shared" si="3"/>
        <v>1350</v>
      </c>
      <c r="K53" s="244">
        <v>0</v>
      </c>
      <c r="L53" s="122">
        <f t="shared" si="5"/>
        <v>1350</v>
      </c>
      <c r="M53" s="132">
        <f t="shared" si="6"/>
        <v>0</v>
      </c>
      <c r="O53" s="149"/>
    </row>
    <row r="54" spans="1:15">
      <c r="A54" s="60">
        <v>164</v>
      </c>
      <c r="B54" s="54" t="s">
        <v>45</v>
      </c>
      <c r="C54" s="99">
        <v>12500</v>
      </c>
      <c r="D54" s="76"/>
      <c r="E54" s="76"/>
      <c r="F54" s="76"/>
      <c r="G54" s="76"/>
      <c r="H54" s="76"/>
      <c r="I54" s="76"/>
      <c r="J54" s="76">
        <f t="shared" si="3"/>
        <v>12500</v>
      </c>
      <c r="K54" s="244">
        <v>5250</v>
      </c>
      <c r="L54" s="122">
        <f t="shared" si="5"/>
        <v>7250</v>
      </c>
      <c r="M54" s="132">
        <f t="shared" si="6"/>
        <v>1.0237966955208521E-3</v>
      </c>
      <c r="O54" s="149"/>
    </row>
    <row r="55" spans="1:15">
      <c r="A55" s="60">
        <v>165</v>
      </c>
      <c r="B55" s="54" t="s">
        <v>104</v>
      </c>
      <c r="C55" s="99">
        <v>6900</v>
      </c>
      <c r="D55" s="76"/>
      <c r="E55" s="76"/>
      <c r="F55" s="76"/>
      <c r="G55" s="76"/>
      <c r="H55" s="76"/>
      <c r="I55" s="76"/>
      <c r="J55" s="76">
        <f t="shared" si="3"/>
        <v>6900</v>
      </c>
      <c r="K55" s="244">
        <v>1457.0100000000002</v>
      </c>
      <c r="L55" s="122">
        <f t="shared" si="5"/>
        <v>5442.99</v>
      </c>
      <c r="M55" s="132">
        <f t="shared" si="6"/>
        <v>2.8412990920777845E-4</v>
      </c>
      <c r="O55" s="149"/>
    </row>
    <row r="56" spans="1:15">
      <c r="A56" s="60">
        <v>168</v>
      </c>
      <c r="B56" s="54" t="s">
        <v>59</v>
      </c>
      <c r="C56" s="99">
        <v>5500</v>
      </c>
      <c r="D56" s="76"/>
      <c r="E56" s="76"/>
      <c r="F56" s="76"/>
      <c r="G56" s="76"/>
      <c r="H56" s="76"/>
      <c r="I56" s="76"/>
      <c r="J56" s="76">
        <f t="shared" si="3"/>
        <v>5500</v>
      </c>
      <c r="K56" s="244">
        <v>1740</v>
      </c>
      <c r="L56" s="122">
        <f t="shared" si="5"/>
        <v>3760</v>
      </c>
      <c r="M56" s="132">
        <f t="shared" si="6"/>
        <v>3.3931547622976816E-4</v>
      </c>
      <c r="O56" s="149"/>
    </row>
    <row r="57" spans="1:15">
      <c r="A57" s="60">
        <v>174</v>
      </c>
      <c r="B57" s="54" t="s">
        <v>46</v>
      </c>
      <c r="C57" s="99">
        <v>5000</v>
      </c>
      <c r="D57" s="76"/>
      <c r="E57" s="76"/>
      <c r="F57" s="76"/>
      <c r="G57" s="76"/>
      <c r="H57" s="76"/>
      <c r="I57" s="76"/>
      <c r="J57" s="76">
        <f t="shared" si="3"/>
        <v>5000</v>
      </c>
      <c r="K57" s="244">
        <v>590</v>
      </c>
      <c r="L57" s="122">
        <f t="shared" si="5"/>
        <v>4410</v>
      </c>
      <c r="M57" s="132">
        <f t="shared" si="6"/>
        <v>1.1505524768710528E-4</v>
      </c>
      <c r="O57" s="149"/>
    </row>
    <row r="58" spans="1:15">
      <c r="A58" s="60">
        <v>182</v>
      </c>
      <c r="B58" s="54" t="s">
        <v>61</v>
      </c>
      <c r="C58" s="99">
        <v>0</v>
      </c>
      <c r="D58" s="76"/>
      <c r="E58" s="76"/>
      <c r="F58" s="76"/>
      <c r="G58" s="76"/>
      <c r="H58" s="76"/>
      <c r="I58" s="76"/>
      <c r="J58" s="76">
        <f t="shared" si="3"/>
        <v>0</v>
      </c>
      <c r="K58" s="244">
        <v>0</v>
      </c>
      <c r="L58" s="122">
        <f t="shared" si="5"/>
        <v>0</v>
      </c>
      <c r="M58" s="132">
        <f t="shared" si="6"/>
        <v>0</v>
      </c>
      <c r="O58" s="149"/>
    </row>
    <row r="59" spans="1:15">
      <c r="A59" s="60">
        <v>183</v>
      </c>
      <c r="B59" s="54" t="s">
        <v>105</v>
      </c>
      <c r="C59" s="99">
        <v>160000</v>
      </c>
      <c r="D59" s="76"/>
      <c r="E59" s="76"/>
      <c r="F59" s="76"/>
      <c r="G59" s="76">
        <v>75000</v>
      </c>
      <c r="H59" s="76"/>
      <c r="I59" s="76"/>
      <c r="J59" s="76">
        <f t="shared" si="3"/>
        <v>85000</v>
      </c>
      <c r="K59" s="244">
        <v>73492</v>
      </c>
      <c r="L59" s="122">
        <f t="shared" si="5"/>
        <v>11508</v>
      </c>
      <c r="M59" s="132">
        <f t="shared" si="6"/>
        <v>1.4331593666136851E-2</v>
      </c>
      <c r="O59" s="149"/>
    </row>
    <row r="60" spans="1:15">
      <c r="A60" s="60">
        <v>184</v>
      </c>
      <c r="B60" s="54" t="s">
        <v>106</v>
      </c>
      <c r="C60" s="99">
        <v>42000</v>
      </c>
      <c r="D60" s="76"/>
      <c r="E60" s="76"/>
      <c r="F60" s="76"/>
      <c r="G60" s="76"/>
      <c r="H60" s="76"/>
      <c r="I60" s="76"/>
      <c r="J60" s="76">
        <f t="shared" si="3"/>
        <v>42000</v>
      </c>
      <c r="K60" s="244">
        <v>39999.4</v>
      </c>
      <c r="L60" s="122">
        <f t="shared" si="5"/>
        <v>2000.5999999999985</v>
      </c>
      <c r="M60" s="132">
        <f t="shared" si="6"/>
        <v>7.8002387700603377E-3</v>
      </c>
      <c r="O60" s="149"/>
    </row>
    <row r="61" spans="1:15">
      <c r="A61" s="60">
        <v>185</v>
      </c>
      <c r="B61" s="54" t="s">
        <v>107</v>
      </c>
      <c r="C61" s="99">
        <v>69000</v>
      </c>
      <c r="D61" s="76"/>
      <c r="E61" s="76"/>
      <c r="F61" s="76"/>
      <c r="G61" s="76">
        <v>40000</v>
      </c>
      <c r="H61" s="76"/>
      <c r="I61" s="76">
        <v>19000</v>
      </c>
      <c r="J61" s="76">
        <f t="shared" si="3"/>
        <v>10000</v>
      </c>
      <c r="K61" s="244">
        <v>500</v>
      </c>
      <c r="L61" s="122">
        <f t="shared" si="5"/>
        <v>9500</v>
      </c>
      <c r="M61" s="132">
        <f t="shared" si="6"/>
        <v>9.7504447192462104E-5</v>
      </c>
      <c r="O61" s="149"/>
    </row>
    <row r="62" spans="1:15">
      <c r="A62" s="60">
        <v>186</v>
      </c>
      <c r="B62" s="54" t="s">
        <v>47</v>
      </c>
      <c r="C62" s="99">
        <v>2000</v>
      </c>
      <c r="D62" s="76"/>
      <c r="E62" s="76"/>
      <c r="F62" s="76"/>
      <c r="G62" s="76"/>
      <c r="H62" s="76"/>
      <c r="I62" s="76"/>
      <c r="J62" s="76">
        <f t="shared" si="3"/>
        <v>2000</v>
      </c>
      <c r="K62" s="244">
        <v>1055</v>
      </c>
      <c r="L62" s="122">
        <f t="shared" si="5"/>
        <v>945</v>
      </c>
      <c r="M62" s="132">
        <f t="shared" si="6"/>
        <v>2.0573438357609505E-4</v>
      </c>
      <c r="O62" s="149"/>
    </row>
    <row r="63" spans="1:15">
      <c r="A63" s="60">
        <v>187</v>
      </c>
      <c r="B63" s="54" t="s">
        <v>108</v>
      </c>
      <c r="C63" s="99">
        <v>51600</v>
      </c>
      <c r="D63" s="76"/>
      <c r="E63" s="76"/>
      <c r="F63" s="76"/>
      <c r="G63" s="76">
        <v>30000</v>
      </c>
      <c r="H63" s="76"/>
      <c r="I63" s="76"/>
      <c r="J63" s="76">
        <f t="shared" si="3"/>
        <v>21600</v>
      </c>
      <c r="K63" s="244">
        <v>5200</v>
      </c>
      <c r="L63" s="122">
        <f t="shared" si="5"/>
        <v>16400</v>
      </c>
      <c r="M63" s="132">
        <f t="shared" si="6"/>
        <v>1.0140462508016058E-3</v>
      </c>
      <c r="O63" s="149"/>
    </row>
    <row r="64" spans="1:15">
      <c r="A64" s="60">
        <v>188</v>
      </c>
      <c r="B64" s="54" t="s">
        <v>109</v>
      </c>
      <c r="C64" s="99">
        <v>0</v>
      </c>
      <c r="D64" s="76"/>
      <c r="E64" s="76"/>
      <c r="F64" s="76"/>
      <c r="G64" s="76"/>
      <c r="H64" s="76"/>
      <c r="I64" s="76"/>
      <c r="J64" s="76">
        <f t="shared" si="3"/>
        <v>0</v>
      </c>
      <c r="K64" s="244">
        <v>0</v>
      </c>
      <c r="L64" s="122">
        <f t="shared" si="5"/>
        <v>0</v>
      </c>
      <c r="M64" s="132">
        <f t="shared" si="6"/>
        <v>0</v>
      </c>
      <c r="O64" s="149"/>
    </row>
    <row r="65" spans="1:16">
      <c r="A65" s="60">
        <v>189</v>
      </c>
      <c r="B65" s="54" t="s">
        <v>110</v>
      </c>
      <c r="C65" s="99">
        <v>0</v>
      </c>
      <c r="D65" s="76">
        <v>275000</v>
      </c>
      <c r="E65" s="76"/>
      <c r="F65" s="76"/>
      <c r="G65" s="76">
        <v>10000</v>
      </c>
      <c r="H65" s="76"/>
      <c r="I65" s="76"/>
      <c r="J65" s="76">
        <f t="shared" si="3"/>
        <v>265000</v>
      </c>
      <c r="K65" s="244">
        <v>205125.00000000003</v>
      </c>
      <c r="L65" s="122">
        <f t="shared" si="5"/>
        <v>59874.999999999971</v>
      </c>
      <c r="M65" s="132">
        <f t="shared" si="6"/>
        <v>4.0001199460707584E-2</v>
      </c>
      <c r="O65" s="149"/>
    </row>
    <row r="66" spans="1:16">
      <c r="A66" s="60">
        <v>191</v>
      </c>
      <c r="B66" s="54" t="s">
        <v>111</v>
      </c>
      <c r="C66" s="99">
        <v>9000</v>
      </c>
      <c r="D66" s="76">
        <v>4000</v>
      </c>
      <c r="E66" s="76"/>
      <c r="F66" s="205"/>
      <c r="G66" s="76"/>
      <c r="H66" s="76"/>
      <c r="I66" s="76"/>
      <c r="J66" s="76">
        <f t="shared" si="3"/>
        <v>13000</v>
      </c>
      <c r="K66" s="244">
        <v>8986.27</v>
      </c>
      <c r="L66" s="122">
        <f t="shared" si="5"/>
        <v>4013.7299999999996</v>
      </c>
      <c r="M66" s="132">
        <f t="shared" si="6"/>
        <v>1.7524025773444131E-3</v>
      </c>
      <c r="O66" s="149"/>
    </row>
    <row r="67" spans="1:16">
      <c r="A67" s="60">
        <v>194</v>
      </c>
      <c r="B67" s="54" t="s">
        <v>112</v>
      </c>
      <c r="C67" s="99">
        <v>1080</v>
      </c>
      <c r="D67" s="76">
        <v>5000</v>
      </c>
      <c r="E67" s="76"/>
      <c r="F67" s="76"/>
      <c r="G67" s="76"/>
      <c r="H67" s="76"/>
      <c r="I67" s="76"/>
      <c r="J67" s="76">
        <f t="shared" si="3"/>
        <v>6080</v>
      </c>
      <c r="K67" s="244">
        <v>5341.09</v>
      </c>
      <c r="L67" s="122">
        <f t="shared" si="5"/>
        <v>738.90999999999985</v>
      </c>
      <c r="M67" s="132">
        <f t="shared" si="6"/>
        <v>1.0415600557103749E-3</v>
      </c>
      <c r="O67" s="149"/>
    </row>
    <row r="68" spans="1:16">
      <c r="A68" s="60">
        <v>195</v>
      </c>
      <c r="B68" s="54" t="s">
        <v>37</v>
      </c>
      <c r="C68" s="99">
        <v>10000</v>
      </c>
      <c r="D68" s="76"/>
      <c r="E68" s="76"/>
      <c r="F68" s="76"/>
      <c r="G68" s="76"/>
      <c r="H68" s="76"/>
      <c r="I68" s="76"/>
      <c r="J68" s="76">
        <f t="shared" si="3"/>
        <v>10000</v>
      </c>
      <c r="K68" s="244">
        <v>6269.2800000000007</v>
      </c>
      <c r="L68" s="122">
        <f t="shared" si="5"/>
        <v>3730.7199999999993</v>
      </c>
      <c r="M68" s="132">
        <f t="shared" si="6"/>
        <v>1.2225653613895178E-3</v>
      </c>
      <c r="O68" s="149"/>
    </row>
    <row r="69" spans="1:16">
      <c r="A69" s="60">
        <v>196</v>
      </c>
      <c r="B69" s="54" t="s">
        <v>113</v>
      </c>
      <c r="C69" s="99">
        <v>31300</v>
      </c>
      <c r="D69" s="76"/>
      <c r="E69" s="76"/>
      <c r="F69" s="76"/>
      <c r="G69" s="76"/>
      <c r="H69" s="76"/>
      <c r="I69" s="76">
        <v>10500</v>
      </c>
      <c r="J69" s="76">
        <f t="shared" si="3"/>
        <v>20800</v>
      </c>
      <c r="K69" s="244">
        <v>12489.5</v>
      </c>
      <c r="L69" s="122">
        <f t="shared" si="5"/>
        <v>8310.5</v>
      </c>
      <c r="M69" s="132">
        <f t="shared" si="6"/>
        <v>2.4355635864205111E-3</v>
      </c>
      <c r="O69" s="149"/>
    </row>
    <row r="70" spans="1:16">
      <c r="A70" s="60">
        <v>199</v>
      </c>
      <c r="B70" s="54" t="s">
        <v>60</v>
      </c>
      <c r="C70" s="99">
        <v>26043.75</v>
      </c>
      <c r="D70" s="76"/>
      <c r="E70" s="76"/>
      <c r="F70" s="76"/>
      <c r="G70" s="76"/>
      <c r="H70" s="76"/>
      <c r="I70" s="76"/>
      <c r="J70" s="76">
        <f t="shared" si="3"/>
        <v>26043.75</v>
      </c>
      <c r="K70" s="244">
        <v>23564.5</v>
      </c>
      <c r="L70" s="122">
        <f t="shared" si="5"/>
        <v>2479.25</v>
      </c>
      <c r="M70" s="132">
        <f t="shared" si="6"/>
        <v>4.595287091733547E-3</v>
      </c>
      <c r="O70" s="149"/>
    </row>
    <row r="71" spans="1:16">
      <c r="A71" s="60"/>
      <c r="B71" s="54"/>
      <c r="C71" s="99"/>
      <c r="D71" s="76"/>
      <c r="E71" s="76"/>
      <c r="F71" s="76"/>
      <c r="G71" s="76"/>
      <c r="H71" s="76"/>
      <c r="I71" s="76"/>
      <c r="J71" s="76"/>
      <c r="K71" s="244"/>
      <c r="L71" s="122"/>
      <c r="M71" s="132"/>
      <c r="O71" s="149"/>
    </row>
    <row r="72" spans="1:16">
      <c r="A72" s="59">
        <v>2</v>
      </c>
      <c r="B72" s="59" t="s">
        <v>11</v>
      </c>
      <c r="C72" s="99"/>
      <c r="D72" s="76"/>
      <c r="E72" s="76"/>
      <c r="F72" s="76"/>
      <c r="G72" s="76"/>
      <c r="H72" s="76"/>
      <c r="I72" s="76"/>
      <c r="J72" s="76"/>
      <c r="K72" s="248"/>
      <c r="L72" s="122"/>
      <c r="M72" s="132"/>
      <c r="O72" s="149"/>
    </row>
    <row r="73" spans="1:16">
      <c r="A73" s="60">
        <v>211</v>
      </c>
      <c r="B73" s="54" t="s">
        <v>24</v>
      </c>
      <c r="C73" s="99">
        <v>66744.479999999996</v>
      </c>
      <c r="D73" s="76"/>
      <c r="E73" s="76"/>
      <c r="F73" s="76"/>
      <c r="G73" s="76"/>
      <c r="H73" s="76">
        <v>19000</v>
      </c>
      <c r="I73" s="76"/>
      <c r="J73" s="76">
        <f t="shared" ref="J73:J98" si="7">C73+D73-E73+F73-G73+H73-I73</f>
        <v>85744.48</v>
      </c>
      <c r="K73" s="244">
        <v>75210.899999999994</v>
      </c>
      <c r="L73" s="122">
        <f t="shared" ref="L73:L98" si="8">J73-K73</f>
        <v>10533.580000000002</v>
      </c>
      <c r="M73" s="132">
        <f t="shared" ref="M73:M98" si="9">K73/$K$114</f>
        <v>1.4666794454695096E-2</v>
      </c>
      <c r="O73" s="149"/>
    </row>
    <row r="74" spans="1:16">
      <c r="A74" s="60">
        <v>219</v>
      </c>
      <c r="B74" s="54" t="s">
        <v>25</v>
      </c>
      <c r="C74" s="99">
        <v>0</v>
      </c>
      <c r="D74" s="76"/>
      <c r="E74" s="76"/>
      <c r="F74" s="76"/>
      <c r="G74" s="76"/>
      <c r="H74" s="76"/>
      <c r="I74" s="76"/>
      <c r="J74" s="76">
        <f t="shared" si="7"/>
        <v>0</v>
      </c>
      <c r="K74" s="244">
        <v>0</v>
      </c>
      <c r="L74" s="122">
        <f t="shared" si="8"/>
        <v>0</v>
      </c>
      <c r="M74" s="132">
        <f t="shared" si="9"/>
        <v>0</v>
      </c>
      <c r="O74" s="149"/>
    </row>
    <row r="75" spans="1:16">
      <c r="A75" s="60">
        <v>232</v>
      </c>
      <c r="B75" s="54" t="s">
        <v>62</v>
      </c>
      <c r="C75" s="99">
        <v>1140</v>
      </c>
      <c r="D75" s="76"/>
      <c r="E75" s="76"/>
      <c r="F75" s="76"/>
      <c r="G75" s="76"/>
      <c r="H75" s="76"/>
      <c r="I75" s="76"/>
      <c r="J75" s="76">
        <f t="shared" si="7"/>
        <v>1140</v>
      </c>
      <c r="K75" s="244">
        <v>840</v>
      </c>
      <c r="L75" s="122">
        <f t="shared" si="8"/>
        <v>300</v>
      </c>
      <c r="M75" s="132">
        <f t="shared" si="9"/>
        <v>1.6380747128333633E-4</v>
      </c>
      <c r="O75" s="149"/>
    </row>
    <row r="76" spans="1:16">
      <c r="A76" s="60">
        <v>233</v>
      </c>
      <c r="B76" s="54" t="s">
        <v>75</v>
      </c>
      <c r="C76" s="99">
        <v>58000</v>
      </c>
      <c r="D76" s="76"/>
      <c r="E76" s="76"/>
      <c r="F76" s="76"/>
      <c r="G76" s="76">
        <v>5000</v>
      </c>
      <c r="H76" s="76"/>
      <c r="I76" s="76">
        <v>27000</v>
      </c>
      <c r="J76" s="76">
        <f t="shared" si="7"/>
        <v>26000</v>
      </c>
      <c r="K76" s="244">
        <v>25745</v>
      </c>
      <c r="L76" s="122">
        <f t="shared" si="8"/>
        <v>255</v>
      </c>
      <c r="M76" s="132">
        <f t="shared" si="9"/>
        <v>5.020503985939874E-3</v>
      </c>
      <c r="O76" s="149"/>
      <c r="P76" s="253"/>
    </row>
    <row r="77" spans="1:16">
      <c r="A77" s="60">
        <v>241</v>
      </c>
      <c r="B77" s="54" t="s">
        <v>63</v>
      </c>
      <c r="C77" s="99">
        <v>3000</v>
      </c>
      <c r="D77" s="76">
        <v>3500</v>
      </c>
      <c r="E77" s="76"/>
      <c r="F77" s="76">
        <v>3250</v>
      </c>
      <c r="G77" s="76"/>
      <c r="H77" s="76"/>
      <c r="I77" s="76"/>
      <c r="J77" s="76">
        <f t="shared" si="7"/>
        <v>9750</v>
      </c>
      <c r="K77" s="244">
        <v>6140.8</v>
      </c>
      <c r="L77" s="122">
        <f t="shared" si="8"/>
        <v>3609.2</v>
      </c>
      <c r="M77" s="132">
        <f t="shared" si="9"/>
        <v>1.1975106186389427E-3</v>
      </c>
      <c r="O77" s="149"/>
      <c r="P77" s="253"/>
    </row>
    <row r="78" spans="1:16">
      <c r="A78" s="60">
        <v>243</v>
      </c>
      <c r="B78" s="54" t="s">
        <v>48</v>
      </c>
      <c r="C78" s="99">
        <v>350</v>
      </c>
      <c r="D78" s="76"/>
      <c r="E78" s="76"/>
      <c r="F78" s="76">
        <v>250</v>
      </c>
      <c r="G78" s="76"/>
      <c r="H78" s="76"/>
      <c r="I78" s="76"/>
      <c r="J78" s="76">
        <f t="shared" si="7"/>
        <v>600</v>
      </c>
      <c r="K78" s="244">
        <v>294.2</v>
      </c>
      <c r="L78" s="122">
        <f t="shared" si="8"/>
        <v>305.8</v>
      </c>
      <c r="M78" s="132">
        <f t="shared" si="9"/>
        <v>5.7371616728044702E-5</v>
      </c>
      <c r="O78" s="149"/>
    </row>
    <row r="79" spans="1:16">
      <c r="A79" s="60">
        <v>244</v>
      </c>
      <c r="B79" s="54" t="s">
        <v>49</v>
      </c>
      <c r="C79" s="99">
        <v>1000</v>
      </c>
      <c r="D79" s="76"/>
      <c r="E79" s="76"/>
      <c r="F79" s="76"/>
      <c r="G79" s="76"/>
      <c r="H79" s="76"/>
      <c r="I79" s="76"/>
      <c r="J79" s="76">
        <f t="shared" si="7"/>
        <v>1000</v>
      </c>
      <c r="K79" s="244">
        <v>957.85</v>
      </c>
      <c r="L79" s="122">
        <f t="shared" si="8"/>
        <v>42.149999999999977</v>
      </c>
      <c r="M79" s="132">
        <f t="shared" si="9"/>
        <v>1.8678926948659965E-4</v>
      </c>
      <c r="O79" s="149"/>
    </row>
    <row r="80" spans="1:16">
      <c r="A80" s="60">
        <v>245</v>
      </c>
      <c r="B80" s="54" t="s">
        <v>50</v>
      </c>
      <c r="C80" s="99">
        <v>1305</v>
      </c>
      <c r="D80" s="76"/>
      <c r="E80" s="76"/>
      <c r="F80" s="76"/>
      <c r="G80" s="76"/>
      <c r="H80" s="76"/>
      <c r="I80" s="76"/>
      <c r="J80" s="76">
        <f t="shared" si="7"/>
        <v>1305</v>
      </c>
      <c r="K80" s="244">
        <v>795</v>
      </c>
      <c r="L80" s="122">
        <f t="shared" si="8"/>
        <v>510</v>
      </c>
      <c r="M80" s="132">
        <f t="shared" si="9"/>
        <v>1.5503207103601476E-4</v>
      </c>
      <c r="O80" s="149"/>
    </row>
    <row r="81" spans="1:15">
      <c r="A81" s="60">
        <v>253</v>
      </c>
      <c r="B81" s="54" t="s">
        <v>41</v>
      </c>
      <c r="C81" s="99">
        <v>2500</v>
      </c>
      <c r="D81" s="76"/>
      <c r="E81" s="76"/>
      <c r="F81" s="76">
        <v>3000</v>
      </c>
      <c r="G81" s="76"/>
      <c r="H81" s="76"/>
      <c r="I81" s="76"/>
      <c r="J81" s="76">
        <f t="shared" si="7"/>
        <v>5500</v>
      </c>
      <c r="K81" s="244">
        <v>3375</v>
      </c>
      <c r="L81" s="122">
        <f t="shared" si="8"/>
        <v>2125</v>
      </c>
      <c r="M81" s="132">
        <f t="shared" si="9"/>
        <v>6.5815501854911927E-4</v>
      </c>
      <c r="O81" s="149"/>
    </row>
    <row r="82" spans="1:15">
      <c r="A82" s="60">
        <v>254</v>
      </c>
      <c r="B82" s="54" t="s">
        <v>51</v>
      </c>
      <c r="C82" s="99">
        <v>200</v>
      </c>
      <c r="D82" s="76">
        <v>500</v>
      </c>
      <c r="E82" s="76"/>
      <c r="F82" s="76"/>
      <c r="G82" s="76"/>
      <c r="H82" s="76"/>
      <c r="I82" s="76"/>
      <c r="J82" s="76">
        <f t="shared" si="7"/>
        <v>700</v>
      </c>
      <c r="K82" s="244">
        <v>527.89</v>
      </c>
      <c r="L82" s="122">
        <f t="shared" si="8"/>
        <v>172.11</v>
      </c>
      <c r="M82" s="132">
        <f t="shared" si="9"/>
        <v>1.0294324525685764E-4</v>
      </c>
      <c r="O82" s="149"/>
    </row>
    <row r="83" spans="1:15">
      <c r="A83" s="60">
        <v>262</v>
      </c>
      <c r="B83" s="54" t="s">
        <v>64</v>
      </c>
      <c r="C83" s="99">
        <v>9770</v>
      </c>
      <c r="D83" s="76"/>
      <c r="E83" s="76"/>
      <c r="F83" s="76"/>
      <c r="G83" s="76"/>
      <c r="H83" s="76"/>
      <c r="I83" s="76"/>
      <c r="J83" s="76">
        <f t="shared" si="7"/>
        <v>9770</v>
      </c>
      <c r="K83" s="244">
        <v>7230.82</v>
      </c>
      <c r="L83" s="122">
        <f t="shared" si="8"/>
        <v>2539.1800000000003</v>
      </c>
      <c r="M83" s="132">
        <f t="shared" si="9"/>
        <v>1.4100742136963977E-3</v>
      </c>
      <c r="O83" s="149"/>
    </row>
    <row r="84" spans="1:15">
      <c r="A84" s="60">
        <v>266</v>
      </c>
      <c r="B84" s="54" t="s">
        <v>65</v>
      </c>
      <c r="C84" s="99">
        <v>600</v>
      </c>
      <c r="D84" s="76"/>
      <c r="E84" s="76"/>
      <c r="F84" s="76"/>
      <c r="G84" s="76"/>
      <c r="H84" s="76"/>
      <c r="I84" s="76"/>
      <c r="J84" s="76">
        <f t="shared" si="7"/>
        <v>600</v>
      </c>
      <c r="K84" s="244">
        <v>293.61</v>
      </c>
      <c r="L84" s="122">
        <f t="shared" si="8"/>
        <v>306.39</v>
      </c>
      <c r="M84" s="132">
        <f t="shared" si="9"/>
        <v>5.7256561480357599E-5</v>
      </c>
      <c r="O84" s="149"/>
    </row>
    <row r="85" spans="1:15">
      <c r="A85" s="60">
        <v>267</v>
      </c>
      <c r="B85" s="54" t="s">
        <v>93</v>
      </c>
      <c r="C85" s="99">
        <v>15000</v>
      </c>
      <c r="D85" s="76"/>
      <c r="E85" s="76"/>
      <c r="F85" s="76">
        <v>7000</v>
      </c>
      <c r="G85" s="76"/>
      <c r="H85" s="76"/>
      <c r="I85" s="76"/>
      <c r="J85" s="76">
        <f t="shared" si="7"/>
        <v>22000</v>
      </c>
      <c r="K85" s="244">
        <v>20475</v>
      </c>
      <c r="L85" s="122">
        <f t="shared" si="8"/>
        <v>1525</v>
      </c>
      <c r="M85" s="132">
        <f t="shared" si="9"/>
        <v>3.9928071125313229E-3</v>
      </c>
      <c r="O85" s="149"/>
    </row>
    <row r="86" spans="1:15">
      <c r="A86" s="60">
        <v>268</v>
      </c>
      <c r="B86" s="54" t="s">
        <v>66</v>
      </c>
      <c r="C86" s="99">
        <v>1858</v>
      </c>
      <c r="D86" s="76"/>
      <c r="E86" s="76"/>
      <c r="F86" s="76"/>
      <c r="G86" s="76"/>
      <c r="H86" s="76"/>
      <c r="I86" s="76"/>
      <c r="J86" s="76">
        <f t="shared" si="7"/>
        <v>1858</v>
      </c>
      <c r="K86" s="244">
        <v>1655.3500000000001</v>
      </c>
      <c r="L86" s="122">
        <f t="shared" si="8"/>
        <v>202.64999999999986</v>
      </c>
      <c r="M86" s="132">
        <f t="shared" si="9"/>
        <v>3.2280797332008435E-4</v>
      </c>
      <c r="O86" s="149"/>
    </row>
    <row r="87" spans="1:15">
      <c r="A87" s="60">
        <v>269</v>
      </c>
      <c r="B87" s="54" t="s">
        <v>67</v>
      </c>
      <c r="C87" s="99">
        <v>500</v>
      </c>
      <c r="D87" s="76"/>
      <c r="E87" s="76"/>
      <c r="F87" s="76"/>
      <c r="G87" s="76"/>
      <c r="H87" s="76"/>
      <c r="I87" s="76"/>
      <c r="J87" s="76">
        <f t="shared" si="7"/>
        <v>500</v>
      </c>
      <c r="K87" s="244">
        <v>0</v>
      </c>
      <c r="L87" s="122">
        <f t="shared" si="8"/>
        <v>500</v>
      </c>
      <c r="M87" s="132">
        <f t="shared" si="9"/>
        <v>0</v>
      </c>
      <c r="O87" s="149"/>
    </row>
    <row r="88" spans="1:15">
      <c r="A88" s="60">
        <v>271</v>
      </c>
      <c r="B88" s="54" t="s">
        <v>68</v>
      </c>
      <c r="C88" s="99">
        <v>381250</v>
      </c>
      <c r="D88" s="76"/>
      <c r="E88" s="76"/>
      <c r="F88" s="76"/>
      <c r="G88" s="76">
        <v>300760</v>
      </c>
      <c r="H88" s="76"/>
      <c r="I88" s="76"/>
      <c r="J88" s="76">
        <f t="shared" si="7"/>
        <v>80490</v>
      </c>
      <c r="K88" s="244">
        <v>76829.8</v>
      </c>
      <c r="L88" s="122">
        <f t="shared" si="8"/>
        <v>3660.1999999999971</v>
      </c>
      <c r="M88" s="132">
        <f t="shared" si="9"/>
        <v>1.4982494353814851E-2</v>
      </c>
      <c r="O88" s="149"/>
    </row>
    <row r="89" spans="1:15">
      <c r="A89" s="60">
        <v>283</v>
      </c>
      <c r="B89" s="54" t="s">
        <v>69</v>
      </c>
      <c r="C89" s="99">
        <v>1000</v>
      </c>
      <c r="D89" s="76"/>
      <c r="E89" s="76"/>
      <c r="F89" s="76"/>
      <c r="G89" s="76"/>
      <c r="H89" s="76"/>
      <c r="I89" s="76"/>
      <c r="J89" s="76">
        <f t="shared" si="7"/>
        <v>1000</v>
      </c>
      <c r="K89" s="244">
        <v>113.04</v>
      </c>
      <c r="L89" s="122">
        <f t="shared" si="8"/>
        <v>886.96</v>
      </c>
      <c r="M89" s="132">
        <f t="shared" si="9"/>
        <v>2.2043805421271834E-5</v>
      </c>
      <c r="O89" s="149"/>
    </row>
    <row r="90" spans="1:15">
      <c r="A90" s="60">
        <v>284</v>
      </c>
      <c r="B90" s="54" t="s">
        <v>52</v>
      </c>
      <c r="C90" s="99">
        <v>5000</v>
      </c>
      <c r="D90" s="76">
        <v>7000</v>
      </c>
      <c r="E90" s="76"/>
      <c r="F90" s="76"/>
      <c r="G90" s="76"/>
      <c r="H90" s="76"/>
      <c r="I90" s="76"/>
      <c r="J90" s="76">
        <f t="shared" si="7"/>
        <v>12000</v>
      </c>
      <c r="K90" s="244">
        <v>344.23</v>
      </c>
      <c r="L90" s="122">
        <f t="shared" si="8"/>
        <v>11655.77</v>
      </c>
      <c r="M90" s="132">
        <f t="shared" si="9"/>
        <v>6.7127911714122461E-5</v>
      </c>
      <c r="O90" s="149"/>
    </row>
    <row r="91" spans="1:15">
      <c r="A91" s="60">
        <v>285</v>
      </c>
      <c r="B91" s="54" t="s">
        <v>128</v>
      </c>
      <c r="C91" s="99">
        <v>1516915</v>
      </c>
      <c r="D91" s="76"/>
      <c r="E91" s="76">
        <v>476000</v>
      </c>
      <c r="F91" s="76"/>
      <c r="G91" s="76">
        <v>310740</v>
      </c>
      <c r="H91" s="76"/>
      <c r="I91" s="76"/>
      <c r="J91" s="76">
        <f t="shared" si="7"/>
        <v>730175</v>
      </c>
      <c r="K91" s="244">
        <v>722736.5</v>
      </c>
      <c r="L91" s="122">
        <f t="shared" si="8"/>
        <v>7438.5</v>
      </c>
      <c r="M91" s="132">
        <f t="shared" si="9"/>
        <v>0.14094004579662978</v>
      </c>
      <c r="O91" s="149"/>
    </row>
    <row r="92" spans="1:15">
      <c r="A92" s="60">
        <v>291</v>
      </c>
      <c r="B92" s="54" t="s">
        <v>70</v>
      </c>
      <c r="C92" s="99">
        <v>6500</v>
      </c>
      <c r="D92" s="76">
        <v>2500</v>
      </c>
      <c r="E92" s="76"/>
      <c r="F92" s="76"/>
      <c r="G92" s="76"/>
      <c r="H92" s="76"/>
      <c r="I92" s="76"/>
      <c r="J92" s="76">
        <f t="shared" si="7"/>
        <v>9000</v>
      </c>
      <c r="K92" s="244">
        <v>7459.869999999999</v>
      </c>
      <c r="L92" s="122">
        <f t="shared" si="8"/>
        <v>1540.130000000001</v>
      </c>
      <c r="M92" s="132">
        <f t="shared" si="9"/>
        <v>1.4547410009552644E-3</v>
      </c>
      <c r="O92" s="149"/>
    </row>
    <row r="93" spans="1:15">
      <c r="A93" s="60">
        <v>292</v>
      </c>
      <c r="B93" s="54" t="s">
        <v>71</v>
      </c>
      <c r="C93" s="99">
        <v>1300</v>
      </c>
      <c r="D93" s="76">
        <v>500</v>
      </c>
      <c r="E93" s="76"/>
      <c r="F93" s="76"/>
      <c r="G93" s="76"/>
      <c r="H93" s="76"/>
      <c r="I93" s="76"/>
      <c r="J93" s="76">
        <f t="shared" si="7"/>
        <v>1800</v>
      </c>
      <c r="K93" s="244">
        <v>1263.31</v>
      </c>
      <c r="L93" s="122">
        <f t="shared" si="8"/>
        <v>536.69000000000005</v>
      </c>
      <c r="M93" s="132">
        <f t="shared" si="9"/>
        <v>2.4635668636541859E-4</v>
      </c>
      <c r="O93" s="149"/>
    </row>
    <row r="94" spans="1:15">
      <c r="A94" s="60">
        <v>294</v>
      </c>
      <c r="B94" s="54" t="s">
        <v>72</v>
      </c>
      <c r="C94" s="99">
        <v>65000</v>
      </c>
      <c r="D94" s="98"/>
      <c r="E94" s="98"/>
      <c r="F94" s="76"/>
      <c r="G94" s="76"/>
      <c r="H94" s="76"/>
      <c r="I94" s="76"/>
      <c r="J94" s="76">
        <f t="shared" si="7"/>
        <v>65000</v>
      </c>
      <c r="K94" s="244">
        <v>48950.99</v>
      </c>
      <c r="L94" s="122">
        <f t="shared" si="8"/>
        <v>16049.010000000002</v>
      </c>
      <c r="M94" s="132">
        <f t="shared" si="9"/>
        <v>9.5458784389474815E-3</v>
      </c>
      <c r="O94" s="149"/>
    </row>
    <row r="95" spans="1:15">
      <c r="A95" s="60">
        <v>296</v>
      </c>
      <c r="B95" s="54" t="s">
        <v>114</v>
      </c>
      <c r="C95" s="99">
        <v>800</v>
      </c>
      <c r="D95" s="76"/>
      <c r="E95" s="76"/>
      <c r="F95" s="76"/>
      <c r="G95" s="76"/>
      <c r="H95" s="76"/>
      <c r="I95" s="76"/>
      <c r="J95" s="76">
        <f t="shared" si="7"/>
        <v>800</v>
      </c>
      <c r="K95" s="244">
        <v>0</v>
      </c>
      <c r="L95" s="122">
        <f t="shared" si="8"/>
        <v>800</v>
      </c>
      <c r="M95" s="132">
        <f t="shared" si="9"/>
        <v>0</v>
      </c>
      <c r="O95" s="149"/>
    </row>
    <row r="96" spans="1:15">
      <c r="A96" s="60">
        <v>297</v>
      </c>
      <c r="B96" s="54" t="s">
        <v>73</v>
      </c>
      <c r="C96" s="99">
        <v>800</v>
      </c>
      <c r="D96" s="76"/>
      <c r="E96" s="76"/>
      <c r="F96" s="76"/>
      <c r="G96" s="76"/>
      <c r="H96" s="76"/>
      <c r="I96" s="76"/>
      <c r="J96" s="76">
        <f t="shared" si="7"/>
        <v>800</v>
      </c>
      <c r="K96" s="244">
        <v>45</v>
      </c>
      <c r="L96" s="122">
        <f t="shared" si="8"/>
        <v>755</v>
      </c>
      <c r="M96" s="132">
        <f t="shared" si="9"/>
        <v>8.7754002473215901E-6</v>
      </c>
      <c r="O96" s="149"/>
    </row>
    <row r="97" spans="1:15">
      <c r="A97" s="60">
        <v>298</v>
      </c>
      <c r="B97" s="54" t="s">
        <v>26</v>
      </c>
      <c r="C97" s="99">
        <v>20000</v>
      </c>
      <c r="D97" s="98"/>
      <c r="E97" s="98"/>
      <c r="F97" s="76"/>
      <c r="G97" s="76">
        <v>5000</v>
      </c>
      <c r="H97" s="76">
        <v>25750</v>
      </c>
      <c r="I97" s="76"/>
      <c r="J97" s="76">
        <f t="shared" si="7"/>
        <v>40750</v>
      </c>
      <c r="K97" s="244">
        <v>20589.240000000002</v>
      </c>
      <c r="L97" s="122">
        <f t="shared" si="8"/>
        <v>20160.759999999998</v>
      </c>
      <c r="M97" s="132">
        <f t="shared" si="9"/>
        <v>4.0150849286258571E-3</v>
      </c>
      <c r="O97" s="149"/>
    </row>
    <row r="98" spans="1:15">
      <c r="A98" s="60">
        <v>299</v>
      </c>
      <c r="B98" s="54" t="s">
        <v>74</v>
      </c>
      <c r="C98" s="99">
        <v>15000</v>
      </c>
      <c r="D98" s="98"/>
      <c r="E98" s="98"/>
      <c r="F98" s="76"/>
      <c r="G98" s="76"/>
      <c r="H98" s="76"/>
      <c r="I98" s="76"/>
      <c r="J98" s="76">
        <f t="shared" si="7"/>
        <v>15000</v>
      </c>
      <c r="K98" s="244">
        <v>5849.51</v>
      </c>
      <c r="L98" s="122">
        <f t="shared" si="8"/>
        <v>9150.49</v>
      </c>
      <c r="M98" s="132">
        <f t="shared" si="9"/>
        <v>1.140706477793558E-3</v>
      </c>
      <c r="O98" s="149"/>
    </row>
    <row r="99" spans="1:15">
      <c r="A99" s="60"/>
      <c r="B99" s="54"/>
      <c r="C99" s="99"/>
      <c r="D99" s="98"/>
      <c r="E99" s="98"/>
      <c r="F99" s="76"/>
      <c r="G99" s="76"/>
      <c r="H99" s="76"/>
      <c r="I99" s="76"/>
      <c r="J99" s="76"/>
      <c r="K99" s="244"/>
      <c r="L99" s="122"/>
      <c r="M99" s="132"/>
      <c r="O99" s="149"/>
    </row>
    <row r="100" spans="1:15">
      <c r="A100" s="59">
        <v>3</v>
      </c>
      <c r="B100" s="59" t="s">
        <v>178</v>
      </c>
      <c r="C100" s="99"/>
      <c r="D100" s="76"/>
      <c r="E100" s="76"/>
      <c r="F100" s="76"/>
      <c r="G100" s="76"/>
      <c r="H100" s="76"/>
      <c r="I100" s="76"/>
      <c r="J100" s="76"/>
      <c r="K100" s="248"/>
      <c r="L100" s="122"/>
      <c r="M100" s="132"/>
      <c r="O100" s="149"/>
    </row>
    <row r="101" spans="1:15">
      <c r="A101" s="60">
        <v>322</v>
      </c>
      <c r="B101" s="54" t="s">
        <v>88</v>
      </c>
      <c r="C101" s="99">
        <v>32000</v>
      </c>
      <c r="D101" s="76"/>
      <c r="E101" s="76"/>
      <c r="F101" s="76"/>
      <c r="G101" s="76"/>
      <c r="H101" s="76"/>
      <c r="I101" s="76"/>
      <c r="J101" s="76">
        <f t="shared" ref="J101:J105" si="10">C101+D101-E101+F101-G101+H101-I101</f>
        <v>32000</v>
      </c>
      <c r="K101" s="244">
        <v>23544</v>
      </c>
      <c r="L101" s="122">
        <f t="shared" ref="L101:L105" si="11">J101-K101</f>
        <v>8456</v>
      </c>
      <c r="M101" s="132">
        <f>K101/$K$114</f>
        <v>4.5912894093986557E-3</v>
      </c>
      <c r="O101" s="149"/>
    </row>
    <row r="102" spans="1:15">
      <c r="A102" s="60">
        <v>323</v>
      </c>
      <c r="B102" s="54" t="s">
        <v>140</v>
      </c>
      <c r="C102" s="99">
        <v>3000</v>
      </c>
      <c r="D102" s="76"/>
      <c r="E102" s="76"/>
      <c r="F102" s="76"/>
      <c r="G102" s="76"/>
      <c r="H102" s="76"/>
      <c r="I102" s="76"/>
      <c r="J102" s="76">
        <f t="shared" si="10"/>
        <v>3000</v>
      </c>
      <c r="K102" s="244">
        <v>0</v>
      </c>
      <c r="L102" s="122">
        <f t="shared" si="11"/>
        <v>3000</v>
      </c>
      <c r="M102" s="132">
        <f>K102/$K$114</f>
        <v>0</v>
      </c>
    </row>
    <row r="103" spans="1:15">
      <c r="A103" s="60">
        <v>324</v>
      </c>
      <c r="B103" s="54" t="s">
        <v>141</v>
      </c>
      <c r="C103" s="99">
        <v>116220</v>
      </c>
      <c r="D103" s="76"/>
      <c r="E103" s="76"/>
      <c r="F103" s="76"/>
      <c r="G103" s="76"/>
      <c r="H103" s="76">
        <v>65000</v>
      </c>
      <c r="I103" s="76"/>
      <c r="J103" s="76">
        <f t="shared" si="10"/>
        <v>181220</v>
      </c>
      <c r="K103" s="244">
        <v>11100</v>
      </c>
      <c r="L103" s="122">
        <f t="shared" si="11"/>
        <v>170120</v>
      </c>
      <c r="M103" s="132">
        <f>K103/$K$114</f>
        <v>2.1645987276726589E-3</v>
      </c>
    </row>
    <row r="104" spans="1:15">
      <c r="A104" s="60">
        <v>328</v>
      </c>
      <c r="B104" s="54" t="s">
        <v>89</v>
      </c>
      <c r="C104" s="99">
        <v>18000</v>
      </c>
      <c r="D104" s="76"/>
      <c r="E104" s="76"/>
      <c r="F104" s="76"/>
      <c r="G104" s="76"/>
      <c r="H104" s="76"/>
      <c r="I104" s="76"/>
      <c r="J104" s="76">
        <f t="shared" si="10"/>
        <v>18000</v>
      </c>
      <c r="K104" s="244">
        <v>17459</v>
      </c>
      <c r="L104" s="122">
        <f t="shared" si="11"/>
        <v>541</v>
      </c>
      <c r="M104" s="132">
        <f>K104/$K$114</f>
        <v>3.4046602870663918E-3</v>
      </c>
    </row>
    <row r="105" spans="1:15">
      <c r="A105" s="60">
        <v>329</v>
      </c>
      <c r="B105" s="54" t="s">
        <v>90</v>
      </c>
      <c r="C105" s="99">
        <v>8000</v>
      </c>
      <c r="D105" s="76">
        <v>5000</v>
      </c>
      <c r="E105" s="76"/>
      <c r="F105" s="76"/>
      <c r="G105" s="76"/>
      <c r="H105" s="76"/>
      <c r="I105" s="76"/>
      <c r="J105" s="76">
        <f t="shared" si="10"/>
        <v>13000</v>
      </c>
      <c r="K105" s="244">
        <v>0</v>
      </c>
      <c r="L105" s="122">
        <f t="shared" si="11"/>
        <v>13000</v>
      </c>
      <c r="M105" s="132">
        <f>K105/$K$114</f>
        <v>0</v>
      </c>
    </row>
    <row r="106" spans="1:15">
      <c r="A106" s="60"/>
      <c r="B106" s="54"/>
      <c r="C106" s="99"/>
      <c r="D106" s="76"/>
      <c r="E106" s="76"/>
      <c r="F106" s="76"/>
      <c r="G106" s="76"/>
      <c r="H106" s="76"/>
      <c r="I106" s="76"/>
      <c r="J106" s="76"/>
      <c r="K106" s="244"/>
      <c r="L106" s="122"/>
      <c r="M106" s="132"/>
      <c r="O106" s="35"/>
    </row>
    <row r="107" spans="1:15">
      <c r="A107" s="59">
        <v>4</v>
      </c>
      <c r="B107" s="59" t="s">
        <v>13</v>
      </c>
      <c r="C107" s="99"/>
      <c r="D107" s="76"/>
      <c r="E107" s="76"/>
      <c r="F107" s="76"/>
      <c r="G107" s="76"/>
      <c r="H107" s="76"/>
      <c r="I107" s="76"/>
      <c r="J107" s="76"/>
      <c r="K107" s="244"/>
      <c r="L107" s="122"/>
      <c r="M107" s="132"/>
      <c r="O107" s="35"/>
    </row>
    <row r="108" spans="1:15">
      <c r="A108" s="61">
        <v>413</v>
      </c>
      <c r="B108" s="62" t="s">
        <v>77</v>
      </c>
      <c r="C108" s="99">
        <v>46000</v>
      </c>
      <c r="D108" s="76"/>
      <c r="E108" s="76"/>
      <c r="F108" s="76"/>
      <c r="G108" s="76"/>
      <c r="H108" s="76"/>
      <c r="I108" s="76"/>
      <c r="J108" s="76">
        <f t="shared" ref="J108:J112" si="12">C108+D108-E108+F108-G108+H108-I108</f>
        <v>46000</v>
      </c>
      <c r="K108" s="244">
        <v>0</v>
      </c>
      <c r="L108" s="122">
        <f t="shared" ref="L108:L112" si="13">J108-K108</f>
        <v>46000</v>
      </c>
      <c r="M108" s="132">
        <f>K108/$K$114</f>
        <v>0</v>
      </c>
      <c r="O108" s="35"/>
    </row>
    <row r="109" spans="1:15">
      <c r="A109" s="61">
        <v>415</v>
      </c>
      <c r="B109" s="62" t="s">
        <v>78</v>
      </c>
      <c r="C109" s="99">
        <v>30100</v>
      </c>
      <c r="D109" s="76"/>
      <c r="E109" s="76"/>
      <c r="F109" s="76"/>
      <c r="G109" s="76"/>
      <c r="H109" s="76"/>
      <c r="I109" s="76"/>
      <c r="J109" s="76">
        <f t="shared" si="12"/>
        <v>30100</v>
      </c>
      <c r="K109" s="244">
        <v>0</v>
      </c>
      <c r="L109" s="122">
        <f t="shared" si="13"/>
        <v>30100</v>
      </c>
      <c r="M109" s="132">
        <f>K109/$K$114</f>
        <v>0</v>
      </c>
      <c r="O109" s="35"/>
    </row>
    <row r="110" spans="1:15">
      <c r="A110" s="61">
        <v>419</v>
      </c>
      <c r="B110" s="62" t="s">
        <v>79</v>
      </c>
      <c r="C110" s="99">
        <v>19200</v>
      </c>
      <c r="D110" s="76"/>
      <c r="E110" s="76"/>
      <c r="F110" s="76"/>
      <c r="G110" s="76"/>
      <c r="H110" s="76"/>
      <c r="I110" s="76"/>
      <c r="J110" s="76">
        <f t="shared" si="12"/>
        <v>19200</v>
      </c>
      <c r="K110" s="244">
        <v>4000</v>
      </c>
      <c r="L110" s="122">
        <f t="shared" si="13"/>
        <v>15200</v>
      </c>
      <c r="M110" s="132">
        <f>K110/$K$114</f>
        <v>7.8003557753969683E-4</v>
      </c>
      <c r="O110" s="35"/>
    </row>
    <row r="111" spans="1:15">
      <c r="A111" s="61">
        <v>453</v>
      </c>
      <c r="B111" s="62" t="s">
        <v>80</v>
      </c>
      <c r="C111" s="99">
        <v>120000</v>
      </c>
      <c r="D111" s="76"/>
      <c r="E111" s="76"/>
      <c r="F111" s="76">
        <v>105000</v>
      </c>
      <c r="G111" s="76"/>
      <c r="H111" s="76"/>
      <c r="I111" s="76"/>
      <c r="J111" s="76">
        <f t="shared" si="12"/>
        <v>225000</v>
      </c>
      <c r="K111" s="244">
        <v>198697.81</v>
      </c>
      <c r="L111" s="122">
        <f t="shared" si="13"/>
        <v>26302.190000000002</v>
      </c>
      <c r="M111" s="132">
        <f>K111/$K$114</f>
        <v>3.8747840244805737E-2</v>
      </c>
      <c r="O111" s="35"/>
    </row>
    <row r="112" spans="1:15">
      <c r="A112" s="61">
        <v>472</v>
      </c>
      <c r="B112" s="62" t="s">
        <v>118</v>
      </c>
      <c r="C112" s="99">
        <v>4000</v>
      </c>
      <c r="D112" s="76"/>
      <c r="E112" s="76"/>
      <c r="F112" s="76"/>
      <c r="G112" s="76"/>
      <c r="H112" s="76"/>
      <c r="I112" s="76"/>
      <c r="J112" s="76">
        <f t="shared" si="12"/>
        <v>4000</v>
      </c>
      <c r="K112" s="244">
        <v>2089.9</v>
      </c>
      <c r="L112" s="122">
        <f t="shared" si="13"/>
        <v>1910.1</v>
      </c>
      <c r="M112" s="132">
        <f>K112/$K$114</f>
        <v>4.0754908837505315E-4</v>
      </c>
      <c r="O112" s="35"/>
    </row>
    <row r="113" spans="1:15" ht="20.25" customHeight="1" thickBot="1">
      <c r="A113" s="56"/>
      <c r="B113" s="160"/>
      <c r="C113" s="229"/>
      <c r="D113" s="76"/>
      <c r="E113" s="76"/>
      <c r="F113" s="101"/>
      <c r="G113" s="101"/>
      <c r="H113" s="101"/>
      <c r="I113" s="101"/>
      <c r="J113" s="52"/>
      <c r="K113" s="249"/>
      <c r="L113" s="125"/>
      <c r="M113" s="132"/>
      <c r="O113" s="35"/>
    </row>
    <row r="114" spans="1:15" ht="20.25" customHeight="1" thickBot="1">
      <c r="A114" s="162"/>
      <c r="B114" s="19" t="s">
        <v>7</v>
      </c>
      <c r="C114" s="63">
        <f>SUM(C23:C113)</f>
        <v>6176079.2063746657</v>
      </c>
      <c r="D114" s="11">
        <f>SUM(D23:D113)</f>
        <v>833550</v>
      </c>
      <c r="E114" s="11">
        <f>SUM(E23:E113)</f>
        <v>833550</v>
      </c>
      <c r="F114" s="11">
        <f t="shared" ref="F114:L114" si="14">SUM(F23:F113)</f>
        <v>776500</v>
      </c>
      <c r="G114" s="11">
        <f t="shared" si="14"/>
        <v>776500</v>
      </c>
      <c r="H114" s="11">
        <f t="shared" si="14"/>
        <v>121750</v>
      </c>
      <c r="I114" s="11">
        <f t="shared" si="14"/>
        <v>121750</v>
      </c>
      <c r="J114" s="11">
        <f t="shared" si="14"/>
        <v>6176079.2063746676</v>
      </c>
      <c r="K114" s="250">
        <f>ROUND((SUM(K23:K113)),2)</f>
        <v>5127971.2300000004</v>
      </c>
      <c r="L114" s="11">
        <f t="shared" si="14"/>
        <v>1048107.9763746663</v>
      </c>
      <c r="M114" s="163">
        <f>K114/K114</f>
        <v>1</v>
      </c>
      <c r="O114" s="35"/>
    </row>
    <row r="115" spans="1:15" ht="20.25" customHeight="1">
      <c r="A115" s="164"/>
      <c r="B115" s="36"/>
      <c r="C115" s="64"/>
      <c r="D115" s="37"/>
      <c r="E115" s="37"/>
      <c r="F115" s="37"/>
      <c r="G115" s="64"/>
      <c r="H115" s="64"/>
      <c r="I115" s="37"/>
      <c r="J115" s="37"/>
      <c r="K115" s="251"/>
      <c r="L115" s="37"/>
      <c r="M115" s="39"/>
      <c r="O115" s="35"/>
    </row>
    <row r="116" spans="1:15" ht="20.25" customHeight="1" thickBot="1">
      <c r="A116" s="164"/>
      <c r="B116" s="36"/>
      <c r="C116" s="64"/>
      <c r="D116" s="37"/>
      <c r="E116" s="37"/>
      <c r="F116" s="37"/>
      <c r="G116" s="37"/>
      <c r="H116" s="37"/>
      <c r="I116" s="37"/>
      <c r="J116" s="37"/>
      <c r="K116" s="251"/>
      <c r="L116" s="37"/>
      <c r="M116" s="39"/>
      <c r="O116" s="35"/>
    </row>
    <row r="117" spans="1:15" s="35" customFormat="1">
      <c r="A117" s="81" t="s">
        <v>8</v>
      </c>
      <c r="B117" s="81"/>
      <c r="C117" s="230"/>
      <c r="D117" s="32"/>
      <c r="E117" s="32"/>
      <c r="F117" s="96"/>
      <c r="G117" s="96"/>
      <c r="H117" s="96"/>
      <c r="I117" s="96"/>
      <c r="J117" s="42"/>
      <c r="K117" s="252"/>
      <c r="L117" s="33"/>
      <c r="M117" s="34"/>
    </row>
    <row r="118" spans="1:15" s="35" customFormat="1">
      <c r="A118" s="84" t="s">
        <v>0</v>
      </c>
      <c r="B118" s="84"/>
      <c r="C118" s="231"/>
      <c r="D118" s="32"/>
      <c r="E118" s="32"/>
      <c r="F118" s="96"/>
      <c r="G118" s="96"/>
      <c r="H118" s="96"/>
      <c r="I118" s="96"/>
      <c r="J118" s="42"/>
      <c r="K118" s="252"/>
      <c r="L118" s="33"/>
      <c r="M118" s="34"/>
    </row>
    <row r="119" spans="1:15" s="35" customFormat="1" ht="12" customHeight="1" thickBot="1">
      <c r="A119" s="84"/>
      <c r="B119" s="84"/>
      <c r="C119" s="231"/>
      <c r="D119" s="32"/>
      <c r="E119" s="32"/>
      <c r="F119" s="96"/>
      <c r="G119" s="96"/>
      <c r="H119" s="96"/>
      <c r="I119" s="96"/>
      <c r="J119" s="42"/>
      <c r="K119" s="252"/>
      <c r="L119" s="33"/>
      <c r="M119" s="34"/>
      <c r="O119" s="5"/>
    </row>
    <row r="120" spans="1:15" s="35" customFormat="1">
      <c r="A120" s="90" t="s">
        <v>121</v>
      </c>
      <c r="B120" s="85"/>
      <c r="C120" s="238"/>
      <c r="D120" s="32"/>
      <c r="E120" s="32"/>
      <c r="G120" s="96"/>
      <c r="H120" s="96"/>
      <c r="I120" s="96"/>
      <c r="J120" s="42"/>
      <c r="K120" s="252"/>
      <c r="L120" s="33"/>
      <c r="M120" s="34"/>
      <c r="O120" s="5"/>
    </row>
    <row r="121" spans="1:15" s="35" customFormat="1">
      <c r="A121" s="91" t="s">
        <v>131</v>
      </c>
      <c r="B121" s="83"/>
      <c r="C121" s="168">
        <v>1077959.21</v>
      </c>
      <c r="D121" s="32"/>
      <c r="E121" s="169"/>
      <c r="G121" s="96"/>
      <c r="H121" s="96"/>
      <c r="I121" s="96"/>
      <c r="J121" s="42"/>
      <c r="K121" s="252"/>
      <c r="L121" s="33"/>
      <c r="M121" s="34"/>
      <c r="O121" s="5"/>
    </row>
    <row r="122" spans="1:15" s="35" customFormat="1">
      <c r="A122" s="91" t="s">
        <v>81</v>
      </c>
      <c r="B122" s="83"/>
      <c r="C122" s="168">
        <f>K19</f>
        <v>4706649.6100000003</v>
      </c>
      <c r="D122" s="32"/>
      <c r="E122" s="169"/>
      <c r="G122" s="96"/>
      <c r="H122" s="96"/>
      <c r="I122" s="220"/>
      <c r="J122" s="42"/>
      <c r="K122" s="252"/>
      <c r="L122" s="33"/>
      <c r="M122" s="34"/>
      <c r="O122" s="5"/>
    </row>
    <row r="123" spans="1:15" s="35" customFormat="1">
      <c r="A123" s="91" t="s">
        <v>94</v>
      </c>
      <c r="B123" s="83"/>
      <c r="C123" s="109">
        <f>-K114</f>
        <v>-5127971.2300000004</v>
      </c>
      <c r="D123" s="32"/>
      <c r="E123" s="169"/>
      <c r="G123" s="96"/>
      <c r="H123" s="96"/>
      <c r="I123" s="96"/>
      <c r="J123" s="42"/>
      <c r="K123" s="252"/>
      <c r="L123" s="33"/>
      <c r="M123" s="34"/>
      <c r="O123" s="5"/>
    </row>
    <row r="124" spans="1:15" s="35" customFormat="1" ht="18" customHeight="1">
      <c r="A124" s="93" t="s">
        <v>120</v>
      </c>
      <c r="B124" s="83"/>
      <c r="C124" s="255">
        <f>SUM(C121:C123)</f>
        <v>656637.58999999985</v>
      </c>
      <c r="D124" s="171"/>
      <c r="E124" s="169"/>
      <c r="G124" s="96"/>
      <c r="H124" s="96"/>
      <c r="I124" s="96"/>
      <c r="J124" s="42"/>
      <c r="K124" s="252"/>
      <c r="L124" s="33"/>
      <c r="M124" s="34"/>
      <c r="O124" s="5"/>
    </row>
    <row r="125" spans="1:15" s="35" customFormat="1" ht="5.0999999999999996" customHeight="1">
      <c r="A125" s="91"/>
      <c r="B125" s="83"/>
      <c r="C125" s="168"/>
      <c r="D125" s="32"/>
      <c r="E125" s="32"/>
      <c r="G125" s="118"/>
      <c r="H125" s="118"/>
      <c r="I125" s="96"/>
      <c r="J125" s="42"/>
      <c r="K125" s="252"/>
      <c r="L125" s="33"/>
      <c r="M125" s="34"/>
      <c r="O125" s="5"/>
    </row>
    <row r="126" spans="1:15" s="35" customFormat="1" ht="5.0999999999999996" customHeight="1">
      <c r="A126" s="91"/>
      <c r="B126" s="83"/>
      <c r="C126" s="109"/>
      <c r="D126" s="32"/>
      <c r="E126" s="32"/>
      <c r="G126" s="96"/>
      <c r="H126" s="96"/>
      <c r="I126" s="96"/>
      <c r="J126" s="42"/>
      <c r="K126" s="252"/>
      <c r="L126" s="33"/>
      <c r="M126" s="34"/>
      <c r="O126" s="5"/>
    </row>
    <row r="127" spans="1:15" s="35" customFormat="1" ht="6.95" customHeight="1">
      <c r="A127" s="91"/>
      <c r="B127" s="83"/>
      <c r="C127" s="168"/>
      <c r="D127" s="32"/>
      <c r="E127" s="32"/>
      <c r="G127" s="96"/>
      <c r="H127" s="96"/>
      <c r="I127" s="96"/>
      <c r="J127" s="42"/>
      <c r="K127" s="252"/>
      <c r="L127" s="33"/>
      <c r="M127" s="34"/>
      <c r="O127" s="5"/>
    </row>
    <row r="128" spans="1:15" s="35" customFormat="1">
      <c r="A128" s="93" t="s">
        <v>190</v>
      </c>
      <c r="B128" s="88"/>
      <c r="C128" s="109">
        <f>C124+C125</f>
        <v>656637.58999999985</v>
      </c>
      <c r="D128" s="174"/>
      <c r="G128" s="96"/>
      <c r="H128" s="96"/>
      <c r="I128" s="96"/>
      <c r="J128" s="42"/>
      <c r="K128" s="252"/>
      <c r="L128" s="33"/>
      <c r="M128" s="34"/>
      <c r="O128" s="5"/>
    </row>
    <row r="129" spans="1:15" s="35" customFormat="1" ht="6.95" customHeight="1" thickBot="1">
      <c r="A129" s="94"/>
      <c r="B129" s="87"/>
      <c r="C129" s="239"/>
      <c r="D129" s="174"/>
      <c r="G129" s="96"/>
      <c r="H129" s="96"/>
      <c r="I129" s="96"/>
      <c r="J129" s="42"/>
      <c r="K129" s="252"/>
      <c r="L129" s="33"/>
      <c r="M129" s="34"/>
      <c r="O129" s="5"/>
    </row>
    <row r="130" spans="1:15">
      <c r="A130" s="43"/>
      <c r="C130" s="240"/>
      <c r="D130" s="174"/>
      <c r="G130" s="102"/>
      <c r="H130" s="102"/>
      <c r="I130" s="102"/>
      <c r="J130" s="102"/>
      <c r="L130" s="102"/>
      <c r="M130" s="102"/>
    </row>
    <row r="131" spans="1:15">
      <c r="A131" s="43"/>
      <c r="B131" s="43"/>
      <c r="C131" s="241"/>
      <c r="D131" s="174"/>
      <c r="G131" s="102"/>
      <c r="H131" s="102"/>
      <c r="I131" s="102"/>
      <c r="J131" s="102"/>
      <c r="L131" s="102"/>
      <c r="M131" s="102"/>
    </row>
    <row r="132" spans="1:15">
      <c r="A132" s="36"/>
      <c r="B132" s="178" t="s">
        <v>189</v>
      </c>
      <c r="C132" s="242"/>
      <c r="D132" s="174"/>
      <c r="E132" s="95"/>
      <c r="G132" s="102"/>
      <c r="H132" s="102"/>
      <c r="J132" s="102"/>
      <c r="L132" s="102"/>
      <c r="M132" s="102"/>
    </row>
    <row r="133" spans="1:15">
      <c r="A133" s="36"/>
      <c r="B133" s="43"/>
      <c r="C133" s="232"/>
      <c r="D133" s="174"/>
      <c r="E133" s="102"/>
      <c r="F133" s="102"/>
      <c r="G133" s="102"/>
      <c r="H133" s="102"/>
      <c r="I133" s="102"/>
      <c r="J133" s="102"/>
      <c r="L133" s="102"/>
      <c r="M133" s="102"/>
    </row>
    <row r="134" spans="1:15">
      <c r="A134" s="36"/>
      <c r="B134" s="43"/>
      <c r="C134" s="232"/>
      <c r="D134" s="174"/>
      <c r="E134" s="102"/>
      <c r="F134" s="102"/>
      <c r="G134" s="102"/>
      <c r="H134" s="102"/>
      <c r="I134" s="102"/>
      <c r="J134" s="102"/>
      <c r="L134" s="102"/>
      <c r="M134" s="102"/>
    </row>
    <row r="135" spans="1:15">
      <c r="A135" s="36"/>
      <c r="B135" s="43"/>
      <c r="D135" s="174"/>
      <c r="E135" s="102"/>
      <c r="F135" s="102"/>
      <c r="G135" s="102"/>
      <c r="H135" s="102"/>
      <c r="I135" s="102"/>
      <c r="J135" s="102"/>
      <c r="L135" s="102"/>
      <c r="M135" s="102"/>
    </row>
    <row r="136" spans="1:15">
      <c r="A136" s="36"/>
      <c r="B136" s="43"/>
      <c r="E136" s="102"/>
      <c r="F136" s="102"/>
      <c r="G136" s="102"/>
      <c r="H136" s="102"/>
      <c r="I136" s="102"/>
      <c r="J136" s="102"/>
      <c r="L136" s="102"/>
      <c r="M136" s="102"/>
    </row>
    <row r="137" spans="1:15">
      <c r="A137" s="164"/>
      <c r="B137" s="43"/>
      <c r="C137" s="234"/>
      <c r="D137" s="42"/>
      <c r="E137" s="95"/>
      <c r="F137" s="95"/>
      <c r="G137" s="102"/>
      <c r="H137" s="102"/>
      <c r="I137" s="102"/>
      <c r="J137" s="102"/>
      <c r="L137" s="102"/>
      <c r="M137" s="102"/>
    </row>
    <row r="138" spans="1:15">
      <c r="A138" s="164"/>
      <c r="B138" s="102"/>
      <c r="C138" s="235"/>
      <c r="D138" s="102"/>
      <c r="E138" s="95"/>
      <c r="F138" s="95"/>
      <c r="G138" s="102"/>
      <c r="H138" s="102"/>
      <c r="I138" s="102"/>
      <c r="J138" s="102"/>
      <c r="L138" s="102"/>
      <c r="M138" s="102"/>
    </row>
    <row r="139" spans="1:15" ht="18.75">
      <c r="A139" s="164"/>
      <c r="B139" s="103" t="s">
        <v>152</v>
      </c>
      <c r="C139" s="236" t="s">
        <v>153</v>
      </c>
      <c r="E139" s="103"/>
      <c r="F139" s="103"/>
      <c r="G139" s="182" t="s">
        <v>156</v>
      </c>
      <c r="H139" s="182"/>
      <c r="K139" s="254"/>
      <c r="L139" s="126"/>
      <c r="M139" s="103"/>
    </row>
    <row r="140" spans="1:15" ht="18.75">
      <c r="A140" s="164"/>
      <c r="B140" s="183" t="s">
        <v>154</v>
      </c>
      <c r="C140" s="237" t="s">
        <v>155</v>
      </c>
      <c r="E140" s="104"/>
      <c r="F140" s="145"/>
      <c r="G140" s="184" t="s">
        <v>148</v>
      </c>
      <c r="H140" s="184"/>
      <c r="K140" s="254"/>
      <c r="L140" s="104"/>
      <c r="M140" s="104"/>
    </row>
    <row r="141" spans="1:15" ht="18.75">
      <c r="A141" s="164"/>
      <c r="B141" s="104"/>
      <c r="D141" s="126"/>
      <c r="E141" s="104"/>
      <c r="F141" s="104"/>
      <c r="G141" s="104"/>
      <c r="H141" s="104"/>
      <c r="I141" s="104"/>
      <c r="J141" s="185"/>
      <c r="K141" s="254"/>
      <c r="L141" s="104"/>
      <c r="M141" s="104"/>
    </row>
    <row r="142" spans="1:15" ht="18.75">
      <c r="A142" s="164"/>
      <c r="B142" s="104"/>
      <c r="D142" s="104"/>
      <c r="F142" s="104"/>
      <c r="G142" s="104"/>
      <c r="H142" s="104"/>
      <c r="I142" s="104"/>
      <c r="J142" s="104"/>
      <c r="K142" s="254"/>
      <c r="M142" s="104"/>
    </row>
  </sheetData>
  <mergeCells count="3">
    <mergeCell ref="K6:K7"/>
    <mergeCell ref="A6:A7"/>
    <mergeCell ref="B6:B7"/>
  </mergeCells>
  <printOptions horizontalCentered="1"/>
  <pageMargins left="0" right="0" top="0.78740157480314965" bottom="0.98425196850393704" header="0.31496062992125984" footer="0.31496062992125984"/>
  <pageSetup scale="55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4"/>
  <sheetViews>
    <sheetView showGridLines="0" zoomScale="75" zoomScaleNormal="75" workbookViewId="0">
      <selection activeCell="C13" sqref="C13"/>
    </sheetView>
  </sheetViews>
  <sheetFormatPr baseColWidth="10" defaultColWidth="11.42578125" defaultRowHeight="18"/>
  <cols>
    <col min="1" max="1" width="11.7109375" style="1" customWidth="1"/>
    <col min="2" max="2" width="67.7109375" style="1" customWidth="1"/>
    <col min="3" max="3" width="18.7109375" style="1" customWidth="1"/>
    <col min="4" max="5" width="17.7109375" style="1" customWidth="1"/>
    <col min="6" max="7" width="17.7109375" style="5" customWidth="1"/>
    <col min="8" max="8" width="14.7109375" style="1" customWidth="1"/>
    <col min="9" max="9" width="18.7109375" style="1" customWidth="1"/>
    <col min="10" max="10" width="19.7109375" style="5" customWidth="1"/>
    <col min="11" max="11" width="19.7109375" style="196" customWidth="1"/>
    <col min="12" max="12" width="12.7109375" style="1" customWidth="1"/>
    <col min="13" max="13" width="7" style="1" customWidth="1"/>
    <col min="14" max="14" width="19.5703125" style="1" bestFit="1" customWidth="1"/>
    <col min="15" max="16384" width="11.42578125" style="1"/>
  </cols>
  <sheetData>
    <row r="1" spans="1:14">
      <c r="A1" s="47" t="s">
        <v>39</v>
      </c>
      <c r="B1" s="47"/>
      <c r="C1" s="47"/>
      <c r="D1" s="47"/>
      <c r="E1" s="47"/>
      <c r="F1" s="97"/>
      <c r="G1" s="97"/>
      <c r="H1" s="47"/>
      <c r="I1" s="47"/>
      <c r="J1" s="97"/>
      <c r="K1" s="186"/>
      <c r="L1" s="47"/>
    </row>
    <row r="2" spans="1:14">
      <c r="A2" s="47" t="s">
        <v>119</v>
      </c>
      <c r="B2" s="47"/>
      <c r="C2" s="47"/>
      <c r="D2" s="47"/>
      <c r="E2" s="47"/>
      <c r="F2" s="97"/>
      <c r="G2" s="97"/>
      <c r="H2" s="47"/>
      <c r="I2" s="47"/>
      <c r="J2" s="97"/>
      <c r="K2" s="186"/>
      <c r="L2" s="47"/>
    </row>
    <row r="3" spans="1:14">
      <c r="A3" s="47" t="s">
        <v>150</v>
      </c>
      <c r="B3" s="47"/>
      <c r="C3" s="47"/>
      <c r="D3" s="47"/>
      <c r="E3" s="47"/>
      <c r="F3" s="97"/>
      <c r="G3" s="97"/>
      <c r="H3" s="47"/>
      <c r="I3" s="47"/>
      <c r="J3" s="97"/>
      <c r="K3" s="186"/>
      <c r="L3" s="47"/>
    </row>
    <row r="4" spans="1:14" ht="17.850000000000001" customHeight="1">
      <c r="A4" s="47" t="s">
        <v>0</v>
      </c>
      <c r="B4" s="47"/>
      <c r="C4" s="47"/>
      <c r="D4" s="47"/>
      <c r="E4" s="47"/>
      <c r="F4" s="97"/>
      <c r="G4" s="97"/>
      <c r="H4" s="47"/>
      <c r="I4" s="47"/>
      <c r="J4" s="97"/>
      <c r="K4" s="186"/>
      <c r="L4" s="47"/>
    </row>
    <row r="5" spans="1:14" ht="17.850000000000001" customHeight="1" thickBot="1">
      <c r="A5" s="47"/>
      <c r="B5" s="47"/>
      <c r="C5" s="47"/>
      <c r="D5" s="47"/>
      <c r="E5" s="47"/>
      <c r="F5" s="97"/>
      <c r="G5" s="97"/>
      <c r="H5" s="47"/>
      <c r="I5" s="47"/>
      <c r="J5" s="97"/>
      <c r="K5" s="186"/>
      <c r="L5" s="47"/>
    </row>
    <row r="6" spans="1:14" ht="18.75" thickBot="1">
      <c r="A6" s="260" t="s">
        <v>5</v>
      </c>
      <c r="B6" s="262" t="s">
        <v>40</v>
      </c>
      <c r="C6" s="3" t="s">
        <v>1</v>
      </c>
      <c r="D6" s="264" t="s">
        <v>147</v>
      </c>
      <c r="E6" s="264"/>
      <c r="F6" s="264" t="s">
        <v>38</v>
      </c>
      <c r="G6" s="264"/>
      <c r="H6" s="3" t="s">
        <v>42</v>
      </c>
      <c r="I6" s="3" t="s">
        <v>1</v>
      </c>
      <c r="J6" s="257" t="s">
        <v>2</v>
      </c>
      <c r="K6" s="187" t="s">
        <v>29</v>
      </c>
      <c r="L6" s="3" t="s">
        <v>31</v>
      </c>
    </row>
    <row r="7" spans="1:14" ht="18.75" thickBot="1">
      <c r="A7" s="261"/>
      <c r="B7" s="263"/>
      <c r="C7" s="6" t="s">
        <v>3</v>
      </c>
      <c r="D7" s="7" t="s">
        <v>145</v>
      </c>
      <c r="E7" s="7" t="s">
        <v>146</v>
      </c>
      <c r="F7" s="7" t="s">
        <v>145</v>
      </c>
      <c r="G7" s="7" t="s">
        <v>146</v>
      </c>
      <c r="H7" s="6" t="s">
        <v>33</v>
      </c>
      <c r="I7" s="6" t="s">
        <v>4</v>
      </c>
      <c r="J7" s="258"/>
      <c r="K7" s="188" t="s">
        <v>30</v>
      </c>
      <c r="L7" s="9" t="s">
        <v>32</v>
      </c>
    </row>
    <row r="8" spans="1:14">
      <c r="A8" s="69"/>
      <c r="B8" s="71" t="s">
        <v>116</v>
      </c>
      <c r="C8" s="13"/>
      <c r="D8" s="13"/>
      <c r="E8" s="13"/>
      <c r="F8" s="98"/>
      <c r="G8" s="98"/>
      <c r="H8" s="13"/>
      <c r="I8" s="13"/>
      <c r="J8" s="98"/>
      <c r="K8" s="189"/>
      <c r="L8" s="13"/>
    </row>
    <row r="9" spans="1:14" s="5" customFormat="1">
      <c r="A9" s="60"/>
      <c r="B9" s="70" t="s">
        <v>117</v>
      </c>
      <c r="C9" s="52">
        <v>1077959.21</v>
      </c>
      <c r="D9" s="127"/>
      <c r="E9" s="52"/>
      <c r="F9" s="127"/>
      <c r="G9" s="127"/>
      <c r="H9" s="127"/>
      <c r="I9" s="128">
        <f t="shared" ref="I9:I16" si="0">C9+D9-E9+F9-G9</f>
        <v>1077959.21</v>
      </c>
      <c r="J9" s="133"/>
      <c r="K9" s="189">
        <f t="shared" ref="K9:K16" si="1">I9-J9+H9</f>
        <v>1077959.21</v>
      </c>
      <c r="L9" s="146">
        <f>J9/J18</f>
        <v>0</v>
      </c>
    </row>
    <row r="10" spans="1:14" s="5" customFormat="1">
      <c r="A10" s="60" t="s">
        <v>27</v>
      </c>
      <c r="B10" s="54" t="s">
        <v>54</v>
      </c>
      <c r="C10" s="52">
        <f>12500+60000+1000</f>
        <v>73500</v>
      </c>
      <c r="D10" s="52"/>
      <c r="E10" s="52"/>
      <c r="F10" s="52"/>
      <c r="G10" s="52"/>
      <c r="H10" s="52"/>
      <c r="I10" s="52">
        <f t="shared" si="0"/>
        <v>73500</v>
      </c>
      <c r="J10" s="52">
        <v>21614</v>
      </c>
      <c r="K10" s="189">
        <v>0</v>
      </c>
      <c r="L10" s="146">
        <f>J10/J18</f>
        <v>4.0863339090638891E-2</v>
      </c>
      <c r="N10" s="147"/>
    </row>
    <row r="11" spans="1:14" s="5" customFormat="1">
      <c r="A11" s="148" t="s">
        <v>95</v>
      </c>
      <c r="B11" s="54" t="s">
        <v>96</v>
      </c>
      <c r="C11" s="52">
        <v>4000</v>
      </c>
      <c r="D11" s="52"/>
      <c r="E11" s="52"/>
      <c r="F11" s="52"/>
      <c r="G11" s="52"/>
      <c r="H11" s="52"/>
      <c r="I11" s="52">
        <f t="shared" si="0"/>
        <v>4000</v>
      </c>
      <c r="J11" s="52">
        <v>339.51</v>
      </c>
      <c r="K11" s="189">
        <v>0</v>
      </c>
      <c r="L11" s="146">
        <f>J11/J18</f>
        <v>6.4187620313976162E-4</v>
      </c>
      <c r="N11" s="147"/>
    </row>
    <row r="12" spans="1:14" s="5" customFormat="1">
      <c r="A12" s="60" t="s">
        <v>97</v>
      </c>
      <c r="B12" s="54" t="s">
        <v>133</v>
      </c>
      <c r="C12" s="52">
        <v>3172620</v>
      </c>
      <c r="D12" s="52"/>
      <c r="E12" s="52"/>
      <c r="F12" s="52"/>
      <c r="G12" s="52"/>
      <c r="H12" s="52"/>
      <c r="I12" s="52">
        <f t="shared" si="0"/>
        <v>3172620</v>
      </c>
      <c r="J12" s="133">
        <v>196856.59</v>
      </c>
      <c r="K12" s="189">
        <f t="shared" si="1"/>
        <v>2975763.41</v>
      </c>
      <c r="L12" s="146">
        <f>J12/J18</f>
        <v>0.37217625563971835</v>
      </c>
      <c r="N12" s="149"/>
    </row>
    <row r="13" spans="1:14" s="5" customFormat="1">
      <c r="A13" s="60" t="s">
        <v>97</v>
      </c>
      <c r="B13" s="54" t="s">
        <v>134</v>
      </c>
      <c r="C13" s="52">
        <v>1828000</v>
      </c>
      <c r="D13" s="52"/>
      <c r="E13" s="52"/>
      <c r="F13" s="52"/>
      <c r="G13" s="52"/>
      <c r="H13" s="52"/>
      <c r="I13" s="52">
        <f t="shared" si="0"/>
        <v>1828000</v>
      </c>
      <c r="J13" s="133">
        <v>310123.67</v>
      </c>
      <c r="K13" s="189">
        <f t="shared" si="1"/>
        <v>1517876.33</v>
      </c>
      <c r="L13" s="146">
        <f>J13/J18</f>
        <v>0.58631852906650295</v>
      </c>
    </row>
    <row r="14" spans="1:14" s="5" customFormat="1">
      <c r="A14" s="60" t="s">
        <v>97</v>
      </c>
      <c r="B14" s="54" t="s">
        <v>99</v>
      </c>
      <c r="C14" s="52">
        <v>20000</v>
      </c>
      <c r="D14" s="52"/>
      <c r="E14" s="52"/>
      <c r="F14" s="52"/>
      <c r="G14" s="52"/>
      <c r="H14" s="52"/>
      <c r="I14" s="52">
        <f>C14+D14-E14+F14-G14</f>
        <v>20000</v>
      </c>
      <c r="J14" s="52">
        <v>0</v>
      </c>
      <c r="K14" s="189">
        <f>I14-J14+H14</f>
        <v>20000</v>
      </c>
      <c r="L14" s="146">
        <v>0</v>
      </c>
    </row>
    <row r="15" spans="1:14" s="5" customFormat="1">
      <c r="A15" s="60" t="s">
        <v>97</v>
      </c>
      <c r="B15" s="54" t="s">
        <v>144</v>
      </c>
      <c r="C15" s="52">
        <v>0</v>
      </c>
      <c r="D15" s="52"/>
      <c r="E15" s="52"/>
      <c r="F15" s="52"/>
      <c r="G15" s="52"/>
      <c r="H15" s="52"/>
      <c r="I15" s="52">
        <f t="shared" si="0"/>
        <v>0</v>
      </c>
      <c r="J15" s="52">
        <v>0</v>
      </c>
      <c r="K15" s="189">
        <f t="shared" si="1"/>
        <v>0</v>
      </c>
      <c r="L15" s="146">
        <v>0</v>
      </c>
    </row>
    <row r="16" spans="1:14" s="5" customFormat="1">
      <c r="A16" s="60" t="s">
        <v>97</v>
      </c>
      <c r="B16" s="54" t="s">
        <v>98</v>
      </c>
      <c r="C16" s="52">
        <v>0</v>
      </c>
      <c r="D16" s="52"/>
      <c r="E16" s="52"/>
      <c r="F16" s="52"/>
      <c r="G16" s="52"/>
      <c r="H16" s="52"/>
      <c r="I16" s="52">
        <f t="shared" si="0"/>
        <v>0</v>
      </c>
      <c r="J16" s="52">
        <v>0</v>
      </c>
      <c r="K16" s="189">
        <f t="shared" si="1"/>
        <v>0</v>
      </c>
      <c r="L16" s="146">
        <v>0</v>
      </c>
    </row>
    <row r="17" spans="1:14" s="5" customFormat="1" ht="18.75" thickBot="1">
      <c r="A17" s="150"/>
      <c r="B17" s="151"/>
      <c r="C17" s="128">
        <v>0</v>
      </c>
      <c r="D17" s="128"/>
      <c r="E17" s="128"/>
      <c r="F17" s="128"/>
      <c r="G17" s="128"/>
      <c r="H17" s="128"/>
      <c r="I17" s="128">
        <f>H17</f>
        <v>0</v>
      </c>
      <c r="J17" s="52">
        <v>0</v>
      </c>
      <c r="K17" s="190">
        <f>-J17+H17</f>
        <v>0</v>
      </c>
      <c r="L17" s="152">
        <f>J17/J18</f>
        <v>0</v>
      </c>
      <c r="N17" s="42"/>
    </row>
    <row r="18" spans="1:14" ht="18.75" customHeight="1" thickBot="1">
      <c r="A18" s="68"/>
      <c r="B18" s="67" t="s">
        <v>6</v>
      </c>
      <c r="C18" s="11">
        <f t="shared" ref="C18:K18" si="2">SUM(C9:C17)</f>
        <v>6176079.21</v>
      </c>
      <c r="D18" s="63">
        <f t="shared" si="2"/>
        <v>0</v>
      </c>
      <c r="E18" s="63">
        <f t="shared" si="2"/>
        <v>0</v>
      </c>
      <c r="F18" s="63">
        <f t="shared" si="2"/>
        <v>0</v>
      </c>
      <c r="G18" s="63">
        <f t="shared" si="2"/>
        <v>0</v>
      </c>
      <c r="H18" s="63">
        <f t="shared" si="2"/>
        <v>0</v>
      </c>
      <c r="I18" s="11">
        <f t="shared" si="2"/>
        <v>6176079.21</v>
      </c>
      <c r="J18" s="11">
        <f t="shared" si="2"/>
        <v>528933.77</v>
      </c>
      <c r="K18" s="191">
        <f t="shared" si="2"/>
        <v>5591598.9500000002</v>
      </c>
      <c r="L18" s="12">
        <f>SUM(L17:L17)</f>
        <v>0</v>
      </c>
    </row>
    <row r="19" spans="1:14">
      <c r="A19" s="141" t="s">
        <v>5</v>
      </c>
      <c r="B19" s="142" t="s">
        <v>115</v>
      </c>
      <c r="C19" s="143"/>
      <c r="D19" s="143"/>
      <c r="E19" s="13"/>
      <c r="F19" s="98"/>
      <c r="G19" s="98"/>
      <c r="H19" s="13"/>
      <c r="I19" s="13"/>
      <c r="J19" s="99"/>
      <c r="K19" s="189"/>
      <c r="L19" s="13"/>
    </row>
    <row r="20" spans="1:14">
      <c r="A20" s="72">
        <v>0</v>
      </c>
      <c r="B20" s="140" t="s">
        <v>9</v>
      </c>
      <c r="C20" s="14"/>
      <c r="D20" s="48"/>
      <c r="E20" s="48"/>
      <c r="F20" s="100"/>
      <c r="G20" s="100"/>
      <c r="H20" s="48"/>
      <c r="I20" s="48"/>
      <c r="J20" s="100"/>
      <c r="K20" s="192"/>
      <c r="L20" s="15"/>
    </row>
    <row r="21" spans="1:14" s="5" customFormat="1">
      <c r="A21" s="53" t="s">
        <v>14</v>
      </c>
      <c r="B21" s="54" t="s">
        <v>84</v>
      </c>
      <c r="C21" s="76">
        <v>574724</v>
      </c>
      <c r="D21" s="76"/>
      <c r="E21" s="76"/>
      <c r="F21" s="76"/>
      <c r="G21" s="76"/>
      <c r="H21" s="76"/>
      <c r="I21" s="52">
        <f t="shared" ref="I21:I99" si="3">C21+D21-E21+F21-G21</f>
        <v>574724</v>
      </c>
      <c r="J21" s="76">
        <f>83088.75-794.07-2034.91</f>
        <v>80259.76999999999</v>
      </c>
      <c r="K21" s="189">
        <f t="shared" ref="K21:K84" si="4">I21-J21</f>
        <v>494464.23</v>
      </c>
      <c r="L21" s="132">
        <f t="shared" ref="L21:L32" si="5">J21/$J$108</f>
        <v>6.7458706092922094E-2</v>
      </c>
      <c r="N21" s="149"/>
    </row>
    <row r="22" spans="1:14">
      <c r="A22" s="53" t="s">
        <v>34</v>
      </c>
      <c r="B22" s="54" t="s">
        <v>35</v>
      </c>
      <c r="C22" s="14">
        <v>4500</v>
      </c>
      <c r="D22" s="14"/>
      <c r="E22" s="14"/>
      <c r="F22" s="76"/>
      <c r="G22" s="76"/>
      <c r="H22" s="14"/>
      <c r="I22" s="10">
        <f t="shared" si="3"/>
        <v>4500</v>
      </c>
      <c r="J22" s="76">
        <v>750</v>
      </c>
      <c r="K22" s="189">
        <f t="shared" si="4"/>
        <v>3750</v>
      </c>
      <c r="L22" s="15">
        <f t="shared" si="5"/>
        <v>6.3037845199022597E-4</v>
      </c>
      <c r="N22" s="75"/>
    </row>
    <row r="23" spans="1:14">
      <c r="A23" s="53" t="s">
        <v>15</v>
      </c>
      <c r="B23" s="54" t="s">
        <v>43</v>
      </c>
      <c r="C23" s="14">
        <v>62500</v>
      </c>
      <c r="D23" s="14"/>
      <c r="E23" s="14"/>
      <c r="F23" s="76"/>
      <c r="G23" s="76"/>
      <c r="H23" s="14"/>
      <c r="I23" s="10">
        <f t="shared" si="3"/>
        <v>62500</v>
      </c>
      <c r="J23" s="76">
        <v>9500</v>
      </c>
      <c r="K23" s="189">
        <f t="shared" si="4"/>
        <v>53000</v>
      </c>
      <c r="L23" s="15">
        <f t="shared" si="5"/>
        <v>7.9847937252095283E-3</v>
      </c>
      <c r="N23" s="75"/>
    </row>
    <row r="24" spans="1:14">
      <c r="A24" s="53" t="s">
        <v>135</v>
      </c>
      <c r="B24" s="54" t="s">
        <v>136</v>
      </c>
      <c r="C24" s="14">
        <v>357550</v>
      </c>
      <c r="D24" s="14"/>
      <c r="E24" s="14"/>
      <c r="F24" s="76"/>
      <c r="G24" s="76"/>
      <c r="H24" s="14"/>
      <c r="I24" s="10">
        <f t="shared" si="3"/>
        <v>357550</v>
      </c>
      <c r="J24" s="76"/>
      <c r="K24" s="189">
        <f t="shared" si="4"/>
        <v>357550</v>
      </c>
      <c r="L24" s="15">
        <f t="shared" si="5"/>
        <v>0</v>
      </c>
      <c r="N24" s="75"/>
    </row>
    <row r="25" spans="1:14">
      <c r="A25" s="53" t="s">
        <v>137</v>
      </c>
      <c r="B25" s="54" t="s">
        <v>138</v>
      </c>
      <c r="C25" s="14">
        <v>5750</v>
      </c>
      <c r="D25" s="14"/>
      <c r="E25" s="14"/>
      <c r="F25" s="76"/>
      <c r="G25" s="76"/>
      <c r="H25" s="14"/>
      <c r="I25" s="10">
        <f t="shared" si="3"/>
        <v>5750</v>
      </c>
      <c r="J25" s="76"/>
      <c r="K25" s="189">
        <f t="shared" si="4"/>
        <v>5750</v>
      </c>
      <c r="L25" s="15">
        <f t="shared" si="5"/>
        <v>0</v>
      </c>
      <c r="N25" s="75"/>
    </row>
    <row r="26" spans="1:14">
      <c r="A26" s="53" t="s">
        <v>100</v>
      </c>
      <c r="B26" s="54" t="s">
        <v>101</v>
      </c>
      <c r="C26" s="14">
        <v>15400</v>
      </c>
      <c r="D26" s="14"/>
      <c r="E26" s="14"/>
      <c r="F26" s="76"/>
      <c r="G26" s="76"/>
      <c r="H26" s="14"/>
      <c r="I26" s="10">
        <f>C26+D26-E26+F26-G26</f>
        <v>15400</v>
      </c>
      <c r="J26" s="76">
        <v>0</v>
      </c>
      <c r="K26" s="189">
        <f t="shared" si="4"/>
        <v>15400</v>
      </c>
      <c r="L26" s="15">
        <f t="shared" si="5"/>
        <v>0</v>
      </c>
      <c r="N26" s="75"/>
    </row>
    <row r="27" spans="1:14">
      <c r="A27" s="53" t="s">
        <v>21</v>
      </c>
      <c r="B27" s="54" t="s">
        <v>22</v>
      </c>
      <c r="C27" s="14">
        <v>37627.240000000005</v>
      </c>
      <c r="D27" s="14"/>
      <c r="E27" s="14"/>
      <c r="F27" s="76"/>
      <c r="G27" s="76"/>
      <c r="H27" s="14"/>
      <c r="I27" s="10">
        <f t="shared" si="3"/>
        <v>37627.240000000005</v>
      </c>
      <c r="J27" s="76">
        <v>2509.17</v>
      </c>
      <c r="K27" s="189">
        <f t="shared" si="4"/>
        <v>35118.070000000007</v>
      </c>
      <c r="L27" s="15">
        <f t="shared" si="5"/>
        <v>2.1089689338404205E-3</v>
      </c>
      <c r="N27" s="75"/>
    </row>
    <row r="28" spans="1:14">
      <c r="A28" s="53" t="s">
        <v>16</v>
      </c>
      <c r="B28" s="54" t="s">
        <v>125</v>
      </c>
      <c r="C28" s="14">
        <v>111250.887308</v>
      </c>
      <c r="D28" s="14"/>
      <c r="E28" s="14"/>
      <c r="F28" s="76"/>
      <c r="G28" s="76"/>
      <c r="H28" s="10"/>
      <c r="I28" s="10">
        <f t="shared" si="3"/>
        <v>111250.887308</v>
      </c>
      <c r="J28" s="76">
        <v>4495.34</v>
      </c>
      <c r="K28" s="189">
        <f t="shared" si="4"/>
        <v>106755.54730800001</v>
      </c>
      <c r="L28" s="15">
        <f t="shared" si="5"/>
        <v>3.7783539604929898E-3</v>
      </c>
      <c r="N28" s="75"/>
    </row>
    <row r="29" spans="1:14">
      <c r="A29" s="53" t="s">
        <v>17</v>
      </c>
      <c r="B29" s="54" t="s">
        <v>126</v>
      </c>
      <c r="C29" s="14">
        <v>10426.5124</v>
      </c>
      <c r="D29" s="14"/>
      <c r="E29" s="14"/>
      <c r="F29" s="76"/>
      <c r="G29" s="76"/>
      <c r="H29" s="14"/>
      <c r="I29" s="10">
        <f t="shared" si="3"/>
        <v>10426.5124</v>
      </c>
      <c r="J29" s="76">
        <v>421.31</v>
      </c>
      <c r="K29" s="189">
        <f t="shared" si="4"/>
        <v>10005.2024</v>
      </c>
      <c r="L29" s="15">
        <f t="shared" si="5"/>
        <v>3.5411299414400281E-4</v>
      </c>
      <c r="N29" s="75"/>
    </row>
    <row r="30" spans="1:14">
      <c r="A30" s="53" t="s">
        <v>18</v>
      </c>
      <c r="B30" s="55" t="s">
        <v>82</v>
      </c>
      <c r="C30" s="14">
        <v>78272.833333333328</v>
      </c>
      <c r="D30" s="14"/>
      <c r="E30" s="14"/>
      <c r="F30" s="76"/>
      <c r="G30" s="76"/>
      <c r="H30" s="14"/>
      <c r="I30" s="10">
        <f t="shared" si="3"/>
        <v>78272.833333333328</v>
      </c>
      <c r="J30" s="76">
        <v>0</v>
      </c>
      <c r="K30" s="189">
        <f t="shared" si="4"/>
        <v>78272.833333333328</v>
      </c>
      <c r="L30" s="15">
        <f t="shared" si="5"/>
        <v>0</v>
      </c>
      <c r="N30" s="75"/>
    </row>
    <row r="31" spans="1:14">
      <c r="A31" s="53" t="s">
        <v>19</v>
      </c>
      <c r="B31" s="54" t="s">
        <v>85</v>
      </c>
      <c r="C31" s="14">
        <v>78272.833333333328</v>
      </c>
      <c r="D31" s="14"/>
      <c r="E31" s="14"/>
      <c r="F31" s="76"/>
      <c r="G31" s="76"/>
      <c r="H31" s="14"/>
      <c r="I31" s="10">
        <f t="shared" si="3"/>
        <v>78272.833333333328</v>
      </c>
      <c r="J31" s="76">
        <v>0</v>
      </c>
      <c r="K31" s="189">
        <f t="shared" si="4"/>
        <v>78272.833333333328</v>
      </c>
      <c r="L31" s="15">
        <f t="shared" si="5"/>
        <v>0</v>
      </c>
      <c r="N31" s="75"/>
    </row>
    <row r="32" spans="1:14">
      <c r="A32" s="53" t="s">
        <v>20</v>
      </c>
      <c r="B32" s="54" t="s">
        <v>83</v>
      </c>
      <c r="C32" s="14">
        <v>4800</v>
      </c>
      <c r="D32" s="14"/>
      <c r="E32" s="14"/>
      <c r="F32" s="76"/>
      <c r="G32" s="76"/>
      <c r="H32" s="14"/>
      <c r="I32" s="10">
        <f t="shared" si="3"/>
        <v>4800</v>
      </c>
      <c r="J32" s="76">
        <v>0</v>
      </c>
      <c r="K32" s="189">
        <f t="shared" si="4"/>
        <v>4800</v>
      </c>
      <c r="L32" s="15">
        <f t="shared" si="5"/>
        <v>0</v>
      </c>
      <c r="N32" s="75"/>
    </row>
    <row r="33" spans="1:14">
      <c r="A33" s="59">
        <v>1</v>
      </c>
      <c r="B33" s="59" t="s">
        <v>10</v>
      </c>
      <c r="C33" s="14"/>
      <c r="D33" s="14"/>
      <c r="E33" s="14"/>
      <c r="F33" s="76"/>
      <c r="G33" s="76"/>
      <c r="H33" s="14"/>
      <c r="I33" s="10"/>
      <c r="J33" s="105"/>
      <c r="K33" s="189"/>
      <c r="L33" s="15"/>
      <c r="N33" s="75"/>
    </row>
    <row r="34" spans="1:14">
      <c r="A34" s="60">
        <v>111</v>
      </c>
      <c r="B34" s="54" t="s">
        <v>44</v>
      </c>
      <c r="C34" s="14">
        <v>13125</v>
      </c>
      <c r="D34" s="14"/>
      <c r="E34" s="14"/>
      <c r="F34" s="76"/>
      <c r="G34" s="76"/>
      <c r="H34" s="14"/>
      <c r="I34" s="10">
        <f t="shared" si="3"/>
        <v>13125</v>
      </c>
      <c r="J34" s="76">
        <v>403.56</v>
      </c>
      <c r="K34" s="189">
        <f t="shared" si="4"/>
        <v>12721.44</v>
      </c>
      <c r="L34" s="15">
        <f t="shared" ref="L34:L93" si="6">J34/$J$108</f>
        <v>3.391940374469008E-4</v>
      </c>
      <c r="N34" s="75"/>
    </row>
    <row r="35" spans="1:14">
      <c r="A35" s="60">
        <v>113</v>
      </c>
      <c r="B35" s="54" t="s">
        <v>53</v>
      </c>
      <c r="C35" s="14">
        <v>24780</v>
      </c>
      <c r="D35" s="14"/>
      <c r="E35" s="14"/>
      <c r="F35" s="76"/>
      <c r="G35" s="76"/>
      <c r="H35" s="14"/>
      <c r="I35" s="10">
        <f t="shared" si="3"/>
        <v>24780</v>
      </c>
      <c r="J35" s="76">
        <v>3318</v>
      </c>
      <c r="K35" s="189">
        <f t="shared" si="4"/>
        <v>21462</v>
      </c>
      <c r="L35" s="15">
        <f t="shared" si="6"/>
        <v>2.7887942716047593E-3</v>
      </c>
      <c r="N35" s="75"/>
    </row>
    <row r="36" spans="1:14">
      <c r="A36" s="60">
        <v>114</v>
      </c>
      <c r="B36" s="54" t="s">
        <v>124</v>
      </c>
      <c r="C36" s="14">
        <v>5000</v>
      </c>
      <c r="D36" s="14"/>
      <c r="E36" s="14"/>
      <c r="F36" s="76"/>
      <c r="G36" s="76"/>
      <c r="H36" s="14"/>
      <c r="I36" s="10">
        <f t="shared" si="3"/>
        <v>5000</v>
      </c>
      <c r="J36" s="76">
        <v>20</v>
      </c>
      <c r="K36" s="189">
        <f t="shared" si="4"/>
        <v>4980</v>
      </c>
      <c r="L36" s="15">
        <f t="shared" si="6"/>
        <v>1.6810092053072691E-5</v>
      </c>
      <c r="N36" s="75"/>
    </row>
    <row r="37" spans="1:14" s="5" customFormat="1">
      <c r="A37" s="60">
        <v>121</v>
      </c>
      <c r="B37" s="54" t="s">
        <v>55</v>
      </c>
      <c r="C37" s="76">
        <v>20000</v>
      </c>
      <c r="D37" s="76"/>
      <c r="E37" s="76"/>
      <c r="F37" s="76"/>
      <c r="G37" s="76"/>
      <c r="H37" s="76"/>
      <c r="I37" s="52">
        <f t="shared" si="3"/>
        <v>20000</v>
      </c>
      <c r="J37" s="76">
        <v>21989</v>
      </c>
      <c r="K37" s="189">
        <f t="shared" si="4"/>
        <v>-1989</v>
      </c>
      <c r="L37" s="132">
        <f t="shared" si="6"/>
        <v>1.848185570775077E-2</v>
      </c>
      <c r="N37" s="149"/>
    </row>
    <row r="38" spans="1:14">
      <c r="A38" s="60">
        <v>122</v>
      </c>
      <c r="B38" s="54" t="s">
        <v>86</v>
      </c>
      <c r="C38" s="14">
        <v>17950</v>
      </c>
      <c r="D38" s="14"/>
      <c r="E38" s="14"/>
      <c r="F38" s="76"/>
      <c r="G38" s="76"/>
      <c r="H38" s="14"/>
      <c r="I38" s="10">
        <f t="shared" si="3"/>
        <v>17950</v>
      </c>
      <c r="J38" s="76">
        <v>1148</v>
      </c>
      <c r="K38" s="189">
        <f t="shared" si="4"/>
        <v>16802</v>
      </c>
      <c r="L38" s="15">
        <f t="shared" si="6"/>
        <v>9.6489928384637248E-4</v>
      </c>
      <c r="M38" s="65"/>
      <c r="N38" s="75"/>
    </row>
    <row r="39" spans="1:14">
      <c r="A39" s="60">
        <v>131</v>
      </c>
      <c r="B39" s="54" t="s">
        <v>56</v>
      </c>
      <c r="C39" s="14">
        <v>1102000</v>
      </c>
      <c r="D39" s="14"/>
      <c r="E39" s="14"/>
      <c r="F39" s="76"/>
      <c r="G39" s="76"/>
      <c r="H39" s="14"/>
      <c r="I39" s="10">
        <f t="shared" si="3"/>
        <v>1102000</v>
      </c>
      <c r="J39" s="76">
        <f>707778.89</f>
        <v>707778.89</v>
      </c>
      <c r="K39" s="189">
        <f t="shared" si="4"/>
        <v>394221.11</v>
      </c>
      <c r="L39" s="15">
        <f t="shared" si="6"/>
        <v>0.59489141470608053</v>
      </c>
      <c r="N39" s="75"/>
    </row>
    <row r="40" spans="1:14">
      <c r="A40" s="60">
        <v>133</v>
      </c>
      <c r="B40" s="54" t="s">
        <v>57</v>
      </c>
      <c r="C40" s="14">
        <v>4546.67</v>
      </c>
      <c r="D40" s="14"/>
      <c r="E40" s="14"/>
      <c r="F40" s="76"/>
      <c r="G40" s="76"/>
      <c r="H40" s="14"/>
      <c r="I40" s="10">
        <f t="shared" si="3"/>
        <v>4546.67</v>
      </c>
      <c r="J40" s="76">
        <v>0</v>
      </c>
      <c r="K40" s="189">
        <f t="shared" si="4"/>
        <v>4546.67</v>
      </c>
      <c r="L40" s="15">
        <f t="shared" si="6"/>
        <v>0</v>
      </c>
      <c r="N40" s="75"/>
    </row>
    <row r="41" spans="1:14">
      <c r="A41" s="60">
        <v>134</v>
      </c>
      <c r="B41" s="54" t="s">
        <v>87</v>
      </c>
      <c r="C41" s="14">
        <v>0</v>
      </c>
      <c r="D41" s="14"/>
      <c r="E41" s="14"/>
      <c r="F41" s="76"/>
      <c r="G41" s="76"/>
      <c r="H41" s="14"/>
      <c r="I41" s="10">
        <f t="shared" si="3"/>
        <v>0</v>
      </c>
      <c r="J41" s="76">
        <v>0</v>
      </c>
      <c r="K41" s="189">
        <f t="shared" si="4"/>
        <v>0</v>
      </c>
      <c r="L41" s="15">
        <f t="shared" si="6"/>
        <v>0</v>
      </c>
      <c r="N41" s="75"/>
    </row>
    <row r="42" spans="1:14">
      <c r="A42" s="60">
        <v>135</v>
      </c>
      <c r="B42" s="54" t="s">
        <v>102</v>
      </c>
      <c r="C42" s="14">
        <v>124000</v>
      </c>
      <c r="D42" s="14"/>
      <c r="E42" s="14"/>
      <c r="F42" s="76"/>
      <c r="G42" s="76"/>
      <c r="H42" s="14"/>
      <c r="I42" s="10">
        <f>C42+D42-E42+F42-G42</f>
        <v>124000</v>
      </c>
      <c r="J42" s="76">
        <v>18609.59</v>
      </c>
      <c r="K42" s="189">
        <f t="shared" si="4"/>
        <v>105390.41</v>
      </c>
      <c r="L42" s="15">
        <f t="shared" si="6"/>
        <v>1.5641446048497053E-2</v>
      </c>
      <c r="N42" s="75"/>
    </row>
    <row r="43" spans="1:14">
      <c r="A43" s="60">
        <v>141</v>
      </c>
      <c r="B43" s="54" t="s">
        <v>76</v>
      </c>
      <c r="C43" s="14">
        <v>374045.69</v>
      </c>
      <c r="D43" s="14"/>
      <c r="E43" s="14"/>
      <c r="F43" s="76"/>
      <c r="G43" s="76"/>
      <c r="H43" s="14"/>
      <c r="I43" s="10">
        <f t="shared" si="3"/>
        <v>374045.69</v>
      </c>
      <c r="J43" s="76">
        <v>166772.68</v>
      </c>
      <c r="K43" s="189">
        <f t="shared" si="4"/>
        <v>207273.01</v>
      </c>
      <c r="L43" s="15">
        <f t="shared" si="6"/>
        <v>0.14017320513688175</v>
      </c>
      <c r="N43" s="75"/>
    </row>
    <row r="44" spans="1:14">
      <c r="A44" s="60">
        <v>142</v>
      </c>
      <c r="B44" s="54" t="s">
        <v>23</v>
      </c>
      <c r="C44" s="14">
        <v>32600</v>
      </c>
      <c r="D44" s="14"/>
      <c r="E44" s="14"/>
      <c r="F44" s="76"/>
      <c r="G44" s="76"/>
      <c r="H44" s="14"/>
      <c r="I44" s="10">
        <f t="shared" si="3"/>
        <v>32600</v>
      </c>
      <c r="J44" s="76">
        <v>0</v>
      </c>
      <c r="K44" s="189">
        <f t="shared" si="4"/>
        <v>32600</v>
      </c>
      <c r="L44" s="15">
        <f t="shared" si="6"/>
        <v>0</v>
      </c>
      <c r="N44" s="75"/>
    </row>
    <row r="45" spans="1:14">
      <c r="A45" s="60">
        <v>143</v>
      </c>
      <c r="B45" s="54" t="s">
        <v>127</v>
      </c>
      <c r="C45" s="14">
        <v>37071.31</v>
      </c>
      <c r="D45" s="14"/>
      <c r="E45" s="14"/>
      <c r="F45" s="76"/>
      <c r="G45" s="76"/>
      <c r="H45" s="14"/>
      <c r="I45" s="10">
        <f t="shared" si="3"/>
        <v>37071.31</v>
      </c>
      <c r="J45" s="76"/>
      <c r="K45" s="189">
        <f t="shared" si="4"/>
        <v>37071.31</v>
      </c>
      <c r="L45" s="15">
        <f t="shared" si="6"/>
        <v>0</v>
      </c>
      <c r="N45" s="75"/>
    </row>
    <row r="46" spans="1:14">
      <c r="A46" s="60">
        <v>151</v>
      </c>
      <c r="B46" s="54" t="s">
        <v>139</v>
      </c>
      <c r="C46" s="14">
        <v>70560</v>
      </c>
      <c r="D46" s="14"/>
      <c r="E46" s="14"/>
      <c r="F46" s="76"/>
      <c r="G46" s="76"/>
      <c r="H46" s="14"/>
      <c r="I46" s="10">
        <f t="shared" si="3"/>
        <v>70560</v>
      </c>
      <c r="J46" s="76">
        <v>11235</v>
      </c>
      <c r="K46" s="189">
        <f t="shared" si="4"/>
        <v>59325</v>
      </c>
      <c r="L46" s="15">
        <f t="shared" si="6"/>
        <v>9.4430692108135837E-3</v>
      </c>
      <c r="N46" s="75"/>
    </row>
    <row r="47" spans="1:14">
      <c r="A47" s="60">
        <v>155</v>
      </c>
      <c r="B47" s="54" t="s">
        <v>36</v>
      </c>
      <c r="C47" s="14">
        <v>0</v>
      </c>
      <c r="D47" s="14"/>
      <c r="E47" s="14"/>
      <c r="F47" s="76"/>
      <c r="G47" s="76"/>
      <c r="H47" s="14"/>
      <c r="I47" s="10">
        <f t="shared" si="3"/>
        <v>0</v>
      </c>
      <c r="J47" s="76">
        <v>0</v>
      </c>
      <c r="K47" s="189">
        <f t="shared" si="4"/>
        <v>0</v>
      </c>
      <c r="L47" s="15">
        <f t="shared" si="6"/>
        <v>0</v>
      </c>
      <c r="N47" s="75"/>
    </row>
    <row r="48" spans="1:14">
      <c r="A48" s="60">
        <v>158</v>
      </c>
      <c r="B48" s="54" t="s">
        <v>103</v>
      </c>
      <c r="C48" s="14">
        <v>4000</v>
      </c>
      <c r="D48" s="14"/>
      <c r="E48" s="14"/>
      <c r="F48" s="76"/>
      <c r="G48" s="76"/>
      <c r="H48" s="14"/>
      <c r="I48" s="10">
        <f>C48+D48-E48+F48-G48</f>
        <v>4000</v>
      </c>
      <c r="J48" s="76">
        <v>0</v>
      </c>
      <c r="K48" s="189">
        <f t="shared" si="4"/>
        <v>4000</v>
      </c>
      <c r="L48" s="15">
        <f t="shared" si="6"/>
        <v>0</v>
      </c>
      <c r="N48" s="75"/>
    </row>
    <row r="49" spans="1:14">
      <c r="A49" s="60">
        <v>162</v>
      </c>
      <c r="B49" s="54" t="s">
        <v>58</v>
      </c>
      <c r="C49" s="14">
        <v>1350</v>
      </c>
      <c r="D49" s="14"/>
      <c r="E49" s="14"/>
      <c r="F49" s="76"/>
      <c r="G49" s="76"/>
      <c r="H49" s="14"/>
      <c r="I49" s="10">
        <f t="shared" si="3"/>
        <v>1350</v>
      </c>
      <c r="J49" s="76">
        <v>0</v>
      </c>
      <c r="K49" s="189">
        <f t="shared" si="4"/>
        <v>1350</v>
      </c>
      <c r="L49" s="15">
        <f t="shared" si="6"/>
        <v>0</v>
      </c>
      <c r="N49" s="75"/>
    </row>
    <row r="50" spans="1:14">
      <c r="A50" s="60">
        <v>164</v>
      </c>
      <c r="B50" s="54" t="s">
        <v>45</v>
      </c>
      <c r="C50" s="14">
        <v>12500</v>
      </c>
      <c r="D50" s="14"/>
      <c r="E50" s="14"/>
      <c r="F50" s="76"/>
      <c r="G50" s="76"/>
      <c r="H50" s="14"/>
      <c r="I50" s="10">
        <f t="shared" si="3"/>
        <v>12500</v>
      </c>
      <c r="J50" s="76">
        <v>5250</v>
      </c>
      <c r="K50" s="189">
        <f t="shared" si="4"/>
        <v>7250</v>
      </c>
      <c r="L50" s="15">
        <f t="shared" si="6"/>
        <v>4.4126491639315812E-3</v>
      </c>
      <c r="N50" s="75"/>
    </row>
    <row r="51" spans="1:14">
      <c r="A51" s="60">
        <v>165</v>
      </c>
      <c r="B51" s="54" t="s">
        <v>104</v>
      </c>
      <c r="C51" s="14">
        <v>6900</v>
      </c>
      <c r="D51" s="14"/>
      <c r="E51" s="14"/>
      <c r="F51" s="76"/>
      <c r="G51" s="76"/>
      <c r="H51" s="14"/>
      <c r="I51" s="10">
        <f>C51+D51-E51+F51-G51</f>
        <v>6900</v>
      </c>
      <c r="J51" s="76">
        <v>612.44000000000005</v>
      </c>
      <c r="K51" s="189">
        <f t="shared" si="4"/>
        <v>6287.5599999999995</v>
      </c>
      <c r="L51" s="15">
        <f t="shared" si="6"/>
        <v>5.1475863884919201E-4</v>
      </c>
      <c r="N51" s="75"/>
    </row>
    <row r="52" spans="1:14">
      <c r="A52" s="60">
        <v>168</v>
      </c>
      <c r="B52" s="54" t="s">
        <v>59</v>
      </c>
      <c r="C52" s="14">
        <v>5500</v>
      </c>
      <c r="D52" s="14"/>
      <c r="E52" s="14"/>
      <c r="F52" s="76"/>
      <c r="G52" s="76"/>
      <c r="H52" s="14"/>
      <c r="I52" s="10">
        <f t="shared" si="3"/>
        <v>5500</v>
      </c>
      <c r="J52" s="76">
        <v>925</v>
      </c>
      <c r="K52" s="189">
        <f t="shared" si="4"/>
        <v>4575</v>
      </c>
      <c r="L52" s="15">
        <f t="shared" si="6"/>
        <v>7.7746675745461204E-4</v>
      </c>
      <c r="N52" s="75"/>
    </row>
    <row r="53" spans="1:14">
      <c r="A53" s="60">
        <v>174</v>
      </c>
      <c r="B53" s="54" t="s">
        <v>46</v>
      </c>
      <c r="C53" s="14">
        <v>5000</v>
      </c>
      <c r="D53" s="14"/>
      <c r="E53" s="14"/>
      <c r="F53" s="76"/>
      <c r="G53" s="76"/>
      <c r="H53" s="14"/>
      <c r="I53" s="10">
        <f t="shared" si="3"/>
        <v>5000</v>
      </c>
      <c r="J53" s="76">
        <v>140</v>
      </c>
      <c r="K53" s="189">
        <f t="shared" si="4"/>
        <v>4860</v>
      </c>
      <c r="L53" s="15">
        <f t="shared" si="6"/>
        <v>1.1767064437150885E-4</v>
      </c>
      <c r="N53" s="75"/>
    </row>
    <row r="54" spans="1:14">
      <c r="A54" s="60">
        <v>182</v>
      </c>
      <c r="B54" s="54" t="s">
        <v>61</v>
      </c>
      <c r="C54" s="14">
        <v>0</v>
      </c>
      <c r="D54" s="14"/>
      <c r="E54" s="14"/>
      <c r="F54" s="76"/>
      <c r="G54" s="76"/>
      <c r="H54" s="14"/>
      <c r="I54" s="10">
        <f t="shared" si="3"/>
        <v>0</v>
      </c>
      <c r="J54" s="76">
        <v>0</v>
      </c>
      <c r="K54" s="189">
        <f t="shared" si="4"/>
        <v>0</v>
      </c>
      <c r="L54" s="15">
        <f t="shared" si="6"/>
        <v>0</v>
      </c>
      <c r="N54" s="75"/>
    </row>
    <row r="55" spans="1:14">
      <c r="A55" s="60">
        <v>183</v>
      </c>
      <c r="B55" s="54" t="s">
        <v>105</v>
      </c>
      <c r="C55" s="14">
        <v>160000</v>
      </c>
      <c r="D55" s="14"/>
      <c r="E55" s="14"/>
      <c r="F55" s="76"/>
      <c r="G55" s="76"/>
      <c r="H55" s="14"/>
      <c r="I55" s="10">
        <f>C55+D55-E55+F55-G55</f>
        <v>160000</v>
      </c>
      <c r="J55" s="76">
        <v>10521.43</v>
      </c>
      <c r="K55" s="189">
        <f t="shared" si="4"/>
        <v>149478.57</v>
      </c>
      <c r="L55" s="15">
        <f t="shared" si="6"/>
        <v>8.8433103414980313E-3</v>
      </c>
      <c r="N55" s="75"/>
    </row>
    <row r="56" spans="1:14">
      <c r="A56" s="60">
        <v>184</v>
      </c>
      <c r="B56" s="54" t="s">
        <v>106</v>
      </c>
      <c r="C56" s="14">
        <v>42000</v>
      </c>
      <c r="D56" s="14"/>
      <c r="E56" s="14"/>
      <c r="F56" s="76"/>
      <c r="G56" s="76"/>
      <c r="H56" s="14"/>
      <c r="I56" s="10">
        <f t="shared" si="3"/>
        <v>42000</v>
      </c>
      <c r="J56" s="76">
        <f>3000</f>
        <v>3000</v>
      </c>
      <c r="K56" s="189">
        <f t="shared" si="4"/>
        <v>39000</v>
      </c>
      <c r="L56" s="15">
        <f t="shared" si="6"/>
        <v>2.5215138079609039E-3</v>
      </c>
      <c r="N56" s="75"/>
    </row>
    <row r="57" spans="1:14">
      <c r="A57" s="60">
        <v>185</v>
      </c>
      <c r="B57" s="54" t="s">
        <v>107</v>
      </c>
      <c r="C57" s="14">
        <v>69000</v>
      </c>
      <c r="D57" s="14"/>
      <c r="E57" s="14"/>
      <c r="F57" s="76"/>
      <c r="G57" s="76"/>
      <c r="H57" s="14"/>
      <c r="I57" s="10">
        <f>C57+D57-E57+F57-G57</f>
        <v>69000</v>
      </c>
      <c r="J57" s="76">
        <v>0</v>
      </c>
      <c r="K57" s="189">
        <f t="shared" si="4"/>
        <v>69000</v>
      </c>
      <c r="L57" s="15">
        <f t="shared" si="6"/>
        <v>0</v>
      </c>
      <c r="N57" s="75"/>
    </row>
    <row r="58" spans="1:14">
      <c r="A58" s="60">
        <v>186</v>
      </c>
      <c r="B58" s="54" t="s">
        <v>47</v>
      </c>
      <c r="C58" s="14">
        <v>2000</v>
      </c>
      <c r="D58" s="14"/>
      <c r="E58" s="14"/>
      <c r="F58" s="76"/>
      <c r="G58" s="76"/>
      <c r="H58" s="14"/>
      <c r="I58" s="10">
        <f t="shared" si="3"/>
        <v>2000</v>
      </c>
      <c r="J58" s="76">
        <v>400</v>
      </c>
      <c r="K58" s="189">
        <f t="shared" si="4"/>
        <v>1600</v>
      </c>
      <c r="L58" s="15">
        <f t="shared" si="6"/>
        <v>3.3620184106145383E-4</v>
      </c>
      <c r="N58" s="75"/>
    </row>
    <row r="59" spans="1:14">
      <c r="A59" s="60">
        <v>187</v>
      </c>
      <c r="B59" s="54" t="s">
        <v>108</v>
      </c>
      <c r="C59" s="14">
        <v>51600</v>
      </c>
      <c r="D59" s="14"/>
      <c r="E59" s="14"/>
      <c r="F59" s="76"/>
      <c r="G59" s="76"/>
      <c r="H59" s="14"/>
      <c r="I59" s="10">
        <f>C59+D59-E59+F59-G59</f>
        <v>51600</v>
      </c>
      <c r="J59" s="76">
        <v>1600</v>
      </c>
      <c r="K59" s="189">
        <f t="shared" si="4"/>
        <v>50000</v>
      </c>
      <c r="L59" s="15">
        <f t="shared" si="6"/>
        <v>1.3448073642458153E-3</v>
      </c>
      <c r="N59" s="75"/>
    </row>
    <row r="60" spans="1:14">
      <c r="A60" s="60">
        <v>188</v>
      </c>
      <c r="B60" s="54" t="s">
        <v>109</v>
      </c>
      <c r="C60" s="14">
        <v>0</v>
      </c>
      <c r="D60" s="14"/>
      <c r="E60" s="14"/>
      <c r="F60" s="76"/>
      <c r="G60" s="76"/>
      <c r="H60" s="14"/>
      <c r="I60" s="10">
        <f t="shared" si="3"/>
        <v>0</v>
      </c>
      <c r="J60" s="76">
        <v>0</v>
      </c>
      <c r="K60" s="189">
        <f t="shared" si="4"/>
        <v>0</v>
      </c>
      <c r="L60" s="15">
        <f t="shared" si="6"/>
        <v>0</v>
      </c>
      <c r="N60" s="75"/>
    </row>
    <row r="61" spans="1:14">
      <c r="A61" s="60">
        <v>189</v>
      </c>
      <c r="B61" s="54" t="s">
        <v>110</v>
      </c>
      <c r="C61" s="14">
        <v>0</v>
      </c>
      <c r="D61" s="14"/>
      <c r="E61" s="14"/>
      <c r="F61" s="76"/>
      <c r="G61" s="76"/>
      <c r="H61" s="14"/>
      <c r="I61" s="10">
        <f>C61+D61-E61+F61-G61</f>
        <v>0</v>
      </c>
      <c r="J61" s="76">
        <v>0</v>
      </c>
      <c r="K61" s="189">
        <f t="shared" si="4"/>
        <v>0</v>
      </c>
      <c r="L61" s="15">
        <f t="shared" si="6"/>
        <v>0</v>
      </c>
      <c r="N61" s="75"/>
    </row>
    <row r="62" spans="1:14">
      <c r="A62" s="60">
        <v>191</v>
      </c>
      <c r="B62" s="54" t="s">
        <v>111</v>
      </c>
      <c r="C62" s="14">
        <v>9000</v>
      </c>
      <c r="D62" s="14"/>
      <c r="E62" s="14"/>
      <c r="F62" s="76"/>
      <c r="G62" s="76"/>
      <c r="H62" s="14"/>
      <c r="I62" s="10">
        <f t="shared" si="3"/>
        <v>9000</v>
      </c>
      <c r="J62" s="76">
        <v>0</v>
      </c>
      <c r="K62" s="189">
        <f t="shared" si="4"/>
        <v>9000</v>
      </c>
      <c r="L62" s="15">
        <f t="shared" si="6"/>
        <v>0</v>
      </c>
      <c r="N62" s="75"/>
    </row>
    <row r="63" spans="1:14">
      <c r="A63" s="60">
        <v>194</v>
      </c>
      <c r="B63" s="54" t="s">
        <v>112</v>
      </c>
      <c r="C63" s="14">
        <v>1080</v>
      </c>
      <c r="D63" s="14"/>
      <c r="E63" s="14"/>
      <c r="F63" s="76"/>
      <c r="G63" s="76"/>
      <c r="H63" s="14"/>
      <c r="I63" s="10">
        <f>C63+D63-E63+F63-G63</f>
        <v>1080</v>
      </c>
      <c r="J63" s="76">
        <v>390.38</v>
      </c>
      <c r="K63" s="189">
        <f t="shared" si="4"/>
        <v>689.62</v>
      </c>
      <c r="L63" s="15">
        <f t="shared" si="6"/>
        <v>3.2811618678392588E-4</v>
      </c>
      <c r="N63" s="75"/>
    </row>
    <row r="64" spans="1:14">
      <c r="A64" s="60">
        <v>195</v>
      </c>
      <c r="B64" s="54" t="s">
        <v>37</v>
      </c>
      <c r="C64" s="14">
        <v>10000</v>
      </c>
      <c r="D64" s="14"/>
      <c r="E64" s="14"/>
      <c r="F64" s="76"/>
      <c r="G64" s="76"/>
      <c r="H64" s="14"/>
      <c r="I64" s="10">
        <f t="shared" si="3"/>
        <v>10000</v>
      </c>
      <c r="J64" s="76">
        <v>188.95</v>
      </c>
      <c r="K64" s="189">
        <f t="shared" si="4"/>
        <v>9811.0499999999993</v>
      </c>
      <c r="L64" s="15">
        <f t="shared" si="6"/>
        <v>1.5881334467140424E-4</v>
      </c>
      <c r="N64" s="75"/>
    </row>
    <row r="65" spans="1:14">
      <c r="A65" s="60">
        <v>196</v>
      </c>
      <c r="B65" s="54" t="s">
        <v>113</v>
      </c>
      <c r="C65" s="14">
        <v>31300</v>
      </c>
      <c r="D65" s="14"/>
      <c r="E65" s="14"/>
      <c r="F65" s="76"/>
      <c r="G65" s="76"/>
      <c r="H65" s="14"/>
      <c r="I65" s="10">
        <f>C65+D65-E65+F65-G65</f>
        <v>31300</v>
      </c>
      <c r="J65" s="76">
        <v>0</v>
      </c>
      <c r="K65" s="189">
        <f t="shared" si="4"/>
        <v>31300</v>
      </c>
      <c r="L65" s="15">
        <f t="shared" si="6"/>
        <v>0</v>
      </c>
      <c r="N65" s="75"/>
    </row>
    <row r="66" spans="1:14">
      <c r="A66" s="60">
        <v>199</v>
      </c>
      <c r="B66" s="54" t="s">
        <v>60</v>
      </c>
      <c r="C66" s="14">
        <v>26043.75</v>
      </c>
      <c r="D66" s="14"/>
      <c r="E66" s="14"/>
      <c r="F66" s="76"/>
      <c r="G66" s="76"/>
      <c r="H66" s="14"/>
      <c r="I66" s="10">
        <f t="shared" si="3"/>
        <v>26043.75</v>
      </c>
      <c r="J66" s="76">
        <v>256</v>
      </c>
      <c r="K66" s="189">
        <f t="shared" si="4"/>
        <v>25787.75</v>
      </c>
      <c r="L66" s="15">
        <f t="shared" si="6"/>
        <v>2.1516917827933045E-4</v>
      </c>
      <c r="N66" s="75"/>
    </row>
    <row r="67" spans="1:14">
      <c r="A67" s="59">
        <v>2</v>
      </c>
      <c r="B67" s="59" t="s">
        <v>11</v>
      </c>
      <c r="C67" s="14"/>
      <c r="D67" s="14"/>
      <c r="E67" s="14"/>
      <c r="F67" s="76"/>
      <c r="G67" s="76"/>
      <c r="H67" s="14"/>
      <c r="I67" s="10"/>
      <c r="J67" s="105"/>
      <c r="K67" s="189"/>
      <c r="L67" s="15">
        <f t="shared" si="6"/>
        <v>0</v>
      </c>
      <c r="N67" s="75"/>
    </row>
    <row r="68" spans="1:14">
      <c r="A68" s="60">
        <v>211</v>
      </c>
      <c r="B68" s="54" t="s">
        <v>24</v>
      </c>
      <c r="C68" s="14">
        <v>66744.479999999996</v>
      </c>
      <c r="D68" s="14"/>
      <c r="E68" s="14"/>
      <c r="F68" s="76"/>
      <c r="G68" s="76"/>
      <c r="H68" s="14"/>
      <c r="I68" s="10">
        <f t="shared" si="3"/>
        <v>66744.479999999996</v>
      </c>
      <c r="J68" s="76">
        <v>14149.65</v>
      </c>
      <c r="K68" s="189">
        <f t="shared" si="4"/>
        <v>52594.829999999994</v>
      </c>
      <c r="L68" s="15">
        <f t="shared" si="6"/>
        <v>1.1892845950938001E-2</v>
      </c>
      <c r="N68" s="75"/>
    </row>
    <row r="69" spans="1:14">
      <c r="A69" s="60">
        <v>219</v>
      </c>
      <c r="B69" s="54" t="s">
        <v>25</v>
      </c>
      <c r="C69" s="14">
        <v>0</v>
      </c>
      <c r="D69" s="14"/>
      <c r="E69" s="14"/>
      <c r="F69" s="76"/>
      <c r="G69" s="76"/>
      <c r="H69" s="14"/>
      <c r="I69" s="10">
        <f t="shared" si="3"/>
        <v>0</v>
      </c>
      <c r="J69" s="76">
        <v>0</v>
      </c>
      <c r="K69" s="189">
        <f t="shared" si="4"/>
        <v>0</v>
      </c>
      <c r="L69" s="15">
        <f t="shared" si="6"/>
        <v>0</v>
      </c>
      <c r="N69" s="75"/>
    </row>
    <row r="70" spans="1:14" s="5" customFormat="1">
      <c r="A70" s="60">
        <v>232</v>
      </c>
      <c r="B70" s="54" t="s">
        <v>62</v>
      </c>
      <c r="C70" s="76">
        <v>1140</v>
      </c>
      <c r="D70" s="76"/>
      <c r="E70" s="76"/>
      <c r="F70" s="76"/>
      <c r="G70" s="76"/>
      <c r="H70" s="76"/>
      <c r="I70" s="52">
        <f t="shared" si="3"/>
        <v>1140</v>
      </c>
      <c r="J70" s="76">
        <v>0</v>
      </c>
      <c r="K70" s="189">
        <f t="shared" si="4"/>
        <v>1140</v>
      </c>
      <c r="L70" s="132">
        <f t="shared" si="6"/>
        <v>0</v>
      </c>
      <c r="N70" s="149"/>
    </row>
    <row r="71" spans="1:14" s="5" customFormat="1">
      <c r="A71" s="60">
        <v>233</v>
      </c>
      <c r="B71" s="54" t="s">
        <v>75</v>
      </c>
      <c r="C71" s="76">
        <v>58000</v>
      </c>
      <c r="D71" s="76"/>
      <c r="E71" s="76"/>
      <c r="F71" s="76"/>
      <c r="G71" s="76"/>
      <c r="H71" s="76"/>
      <c r="I71" s="52">
        <f t="shared" si="3"/>
        <v>58000</v>
      </c>
      <c r="J71" s="76">
        <v>0</v>
      </c>
      <c r="K71" s="189">
        <f t="shared" si="4"/>
        <v>58000</v>
      </c>
      <c r="L71" s="132">
        <f t="shared" si="6"/>
        <v>0</v>
      </c>
      <c r="N71" s="149"/>
    </row>
    <row r="72" spans="1:14" s="5" customFormat="1">
      <c r="A72" s="60">
        <v>241</v>
      </c>
      <c r="B72" s="54" t="s">
        <v>63</v>
      </c>
      <c r="C72" s="76">
        <v>3000</v>
      </c>
      <c r="D72" s="76"/>
      <c r="E72" s="76"/>
      <c r="F72" s="76"/>
      <c r="G72" s="76"/>
      <c r="H72" s="76"/>
      <c r="I72" s="52">
        <f t="shared" si="3"/>
        <v>3000</v>
      </c>
      <c r="J72" s="76">
        <v>3348.7</v>
      </c>
      <c r="K72" s="189">
        <f t="shared" si="4"/>
        <v>-348.69999999999982</v>
      </c>
      <c r="L72" s="132">
        <f t="shared" si="6"/>
        <v>2.8145977629062259E-3</v>
      </c>
      <c r="N72" s="149"/>
    </row>
    <row r="73" spans="1:14" s="5" customFormat="1">
      <c r="A73" s="60">
        <v>243</v>
      </c>
      <c r="B73" s="54" t="s">
        <v>48</v>
      </c>
      <c r="C73" s="76">
        <v>350</v>
      </c>
      <c r="D73" s="76"/>
      <c r="E73" s="76"/>
      <c r="F73" s="76"/>
      <c r="G73" s="76"/>
      <c r="H73" s="76"/>
      <c r="I73" s="52">
        <f t="shared" si="3"/>
        <v>350</v>
      </c>
      <c r="J73" s="76">
        <v>20</v>
      </c>
      <c r="K73" s="189">
        <f t="shared" si="4"/>
        <v>330</v>
      </c>
      <c r="L73" s="132">
        <f t="shared" si="6"/>
        <v>1.6810092053072691E-5</v>
      </c>
      <c r="N73" s="149"/>
    </row>
    <row r="74" spans="1:14" s="5" customFormat="1">
      <c r="A74" s="60">
        <v>244</v>
      </c>
      <c r="B74" s="54" t="s">
        <v>49</v>
      </c>
      <c r="C74" s="76">
        <v>1000</v>
      </c>
      <c r="D74" s="76"/>
      <c r="E74" s="76"/>
      <c r="F74" s="76"/>
      <c r="G74" s="76"/>
      <c r="H74" s="76"/>
      <c r="I74" s="52">
        <f t="shared" si="3"/>
        <v>1000</v>
      </c>
      <c r="J74" s="76">
        <v>0</v>
      </c>
      <c r="K74" s="189">
        <f t="shared" si="4"/>
        <v>1000</v>
      </c>
      <c r="L74" s="132">
        <f t="shared" si="6"/>
        <v>0</v>
      </c>
      <c r="N74" s="149"/>
    </row>
    <row r="75" spans="1:14" s="5" customFormat="1">
      <c r="A75" s="60">
        <v>245</v>
      </c>
      <c r="B75" s="54" t="s">
        <v>50</v>
      </c>
      <c r="C75" s="76">
        <v>1305</v>
      </c>
      <c r="D75" s="76"/>
      <c r="E75" s="76"/>
      <c r="F75" s="76"/>
      <c r="G75" s="76"/>
      <c r="H75" s="76"/>
      <c r="I75" s="52">
        <f t="shared" si="3"/>
        <v>1305</v>
      </c>
      <c r="J75" s="76">
        <v>0</v>
      </c>
      <c r="K75" s="189">
        <f t="shared" si="4"/>
        <v>1305</v>
      </c>
      <c r="L75" s="132">
        <f t="shared" si="6"/>
        <v>0</v>
      </c>
      <c r="N75" s="149"/>
    </row>
    <row r="76" spans="1:14" s="5" customFormat="1">
      <c r="A76" s="60">
        <v>253</v>
      </c>
      <c r="B76" s="54" t="s">
        <v>41</v>
      </c>
      <c r="C76" s="76">
        <v>2500</v>
      </c>
      <c r="D76" s="76"/>
      <c r="E76" s="76"/>
      <c r="F76" s="76"/>
      <c r="G76" s="76"/>
      <c r="H76" s="76"/>
      <c r="I76" s="52">
        <f t="shared" si="3"/>
        <v>2500</v>
      </c>
      <c r="J76" s="76">
        <v>0</v>
      </c>
      <c r="K76" s="189">
        <f t="shared" si="4"/>
        <v>2500</v>
      </c>
      <c r="L76" s="132">
        <f t="shared" si="6"/>
        <v>0</v>
      </c>
      <c r="N76" s="149"/>
    </row>
    <row r="77" spans="1:14" s="5" customFormat="1">
      <c r="A77" s="60">
        <v>254</v>
      </c>
      <c r="B77" s="54" t="s">
        <v>51</v>
      </c>
      <c r="C77" s="76">
        <v>200</v>
      </c>
      <c r="D77" s="76"/>
      <c r="E77" s="76"/>
      <c r="F77" s="76"/>
      <c r="G77" s="76"/>
      <c r="H77" s="76"/>
      <c r="I77" s="52">
        <f t="shared" si="3"/>
        <v>200</v>
      </c>
      <c r="J77" s="76">
        <v>270</v>
      </c>
      <c r="K77" s="189">
        <f t="shared" si="4"/>
        <v>-70</v>
      </c>
      <c r="L77" s="132">
        <f t="shared" si="6"/>
        <v>2.2693624271648134E-4</v>
      </c>
      <c r="N77" s="149"/>
    </row>
    <row r="78" spans="1:14">
      <c r="A78" s="60">
        <v>262</v>
      </c>
      <c r="B78" s="54" t="s">
        <v>64</v>
      </c>
      <c r="C78" s="14">
        <v>9770</v>
      </c>
      <c r="D78" s="14"/>
      <c r="E78" s="14"/>
      <c r="F78" s="76"/>
      <c r="G78" s="76"/>
      <c r="H78" s="14"/>
      <c r="I78" s="10">
        <f t="shared" si="3"/>
        <v>9770</v>
      </c>
      <c r="J78" s="76">
        <v>996.42</v>
      </c>
      <c r="K78" s="189">
        <f t="shared" si="4"/>
        <v>8773.58</v>
      </c>
      <c r="L78" s="15">
        <f t="shared" si="6"/>
        <v>8.3749559617613456E-4</v>
      </c>
      <c r="N78" s="75"/>
    </row>
    <row r="79" spans="1:14">
      <c r="A79" s="60">
        <v>266</v>
      </c>
      <c r="B79" s="54" t="s">
        <v>65</v>
      </c>
      <c r="C79" s="14">
        <v>600</v>
      </c>
      <c r="D79" s="14"/>
      <c r="E79" s="14"/>
      <c r="F79" s="76"/>
      <c r="G79" s="76"/>
      <c r="H79" s="14"/>
      <c r="I79" s="10">
        <f t="shared" si="3"/>
        <v>600</v>
      </c>
      <c r="J79" s="76">
        <v>0</v>
      </c>
      <c r="K79" s="189">
        <f t="shared" si="4"/>
        <v>600</v>
      </c>
      <c r="L79" s="15">
        <f t="shared" si="6"/>
        <v>0</v>
      </c>
      <c r="N79" s="75"/>
    </row>
    <row r="80" spans="1:14">
      <c r="A80" s="60">
        <v>267</v>
      </c>
      <c r="B80" s="54" t="s">
        <v>93</v>
      </c>
      <c r="C80" s="14">
        <v>15000</v>
      </c>
      <c r="D80" s="14"/>
      <c r="E80" s="14"/>
      <c r="F80" s="76"/>
      <c r="G80" s="76"/>
      <c r="H80" s="14"/>
      <c r="I80" s="10">
        <f t="shared" si="3"/>
        <v>15000</v>
      </c>
      <c r="J80" s="76">
        <v>2179</v>
      </c>
      <c r="K80" s="189">
        <f t="shared" si="4"/>
        <v>12821</v>
      </c>
      <c r="L80" s="15">
        <f t="shared" si="6"/>
        <v>1.8314595291822697E-3</v>
      </c>
      <c r="N80" s="75"/>
    </row>
    <row r="81" spans="1:14">
      <c r="A81" s="60">
        <v>268</v>
      </c>
      <c r="B81" s="54" t="s">
        <v>66</v>
      </c>
      <c r="C81" s="14">
        <v>1858</v>
      </c>
      <c r="D81" s="14"/>
      <c r="E81" s="14"/>
      <c r="F81" s="76"/>
      <c r="G81" s="76"/>
      <c r="H81" s="14"/>
      <c r="I81" s="10">
        <f t="shared" si="3"/>
        <v>1858</v>
      </c>
      <c r="J81" s="76">
        <v>480.35</v>
      </c>
      <c r="K81" s="189">
        <f t="shared" si="4"/>
        <v>1377.65</v>
      </c>
      <c r="L81" s="15">
        <f t="shared" si="6"/>
        <v>4.0373638588467342E-4</v>
      </c>
      <c r="N81" s="75"/>
    </row>
    <row r="82" spans="1:14">
      <c r="A82" s="60">
        <v>269</v>
      </c>
      <c r="B82" s="54" t="s">
        <v>67</v>
      </c>
      <c r="C82" s="14">
        <v>500</v>
      </c>
      <c r="D82" s="14"/>
      <c r="E82" s="14"/>
      <c r="F82" s="76"/>
      <c r="G82" s="76"/>
      <c r="H82" s="14"/>
      <c r="I82" s="10">
        <f t="shared" si="3"/>
        <v>500</v>
      </c>
      <c r="J82" s="76">
        <v>0</v>
      </c>
      <c r="K82" s="189">
        <f t="shared" si="4"/>
        <v>500</v>
      </c>
      <c r="L82" s="15">
        <f t="shared" si="6"/>
        <v>0</v>
      </c>
      <c r="N82" s="75"/>
    </row>
    <row r="83" spans="1:14">
      <c r="A83" s="60">
        <v>271</v>
      </c>
      <c r="B83" s="54" t="s">
        <v>68</v>
      </c>
      <c r="C83" s="14">
        <v>381250</v>
      </c>
      <c r="D83" s="14"/>
      <c r="E83" s="14"/>
      <c r="F83" s="99"/>
      <c r="G83" s="76"/>
      <c r="H83" s="14"/>
      <c r="I83" s="10">
        <f t="shared" si="3"/>
        <v>381250</v>
      </c>
      <c r="J83" s="76">
        <v>0</v>
      </c>
      <c r="K83" s="189">
        <f t="shared" si="4"/>
        <v>381250</v>
      </c>
      <c r="L83" s="15">
        <f t="shared" si="6"/>
        <v>0</v>
      </c>
      <c r="N83" s="75"/>
    </row>
    <row r="84" spans="1:14">
      <c r="A84" s="60">
        <v>283</v>
      </c>
      <c r="B84" s="54" t="s">
        <v>69</v>
      </c>
      <c r="C84" s="14">
        <v>1000</v>
      </c>
      <c r="D84" s="14"/>
      <c r="E84" s="14"/>
      <c r="F84" s="76"/>
      <c r="G84" s="76"/>
      <c r="H84" s="14"/>
      <c r="I84" s="10">
        <f t="shared" si="3"/>
        <v>1000</v>
      </c>
      <c r="J84" s="76">
        <v>0</v>
      </c>
      <c r="K84" s="189">
        <f t="shared" si="4"/>
        <v>1000</v>
      </c>
      <c r="L84" s="15">
        <f t="shared" si="6"/>
        <v>0</v>
      </c>
      <c r="N84" s="75"/>
    </row>
    <row r="85" spans="1:14">
      <c r="A85" s="60">
        <v>284</v>
      </c>
      <c r="B85" s="54" t="s">
        <v>52</v>
      </c>
      <c r="C85" s="14">
        <v>5000</v>
      </c>
      <c r="D85" s="14"/>
      <c r="E85" s="14"/>
      <c r="F85" s="76"/>
      <c r="G85" s="76"/>
      <c r="H85" s="14"/>
      <c r="I85" s="10">
        <f t="shared" si="3"/>
        <v>5000</v>
      </c>
      <c r="J85" s="76">
        <v>144.22999999999999</v>
      </c>
      <c r="K85" s="189">
        <f t="shared" ref="K85:K93" si="7">I85-J85</f>
        <v>4855.7700000000004</v>
      </c>
      <c r="L85" s="15">
        <f t="shared" si="6"/>
        <v>1.2122597884073371E-4</v>
      </c>
      <c r="N85" s="75"/>
    </row>
    <row r="86" spans="1:14">
      <c r="A86" s="60">
        <v>285</v>
      </c>
      <c r="B86" s="54" t="s">
        <v>128</v>
      </c>
      <c r="C86" s="14">
        <v>1516915</v>
      </c>
      <c r="D86" s="14"/>
      <c r="E86" s="14"/>
      <c r="F86" s="76"/>
      <c r="G86" s="76"/>
      <c r="H86" s="14"/>
      <c r="I86" s="10">
        <f t="shared" si="3"/>
        <v>1516915</v>
      </c>
      <c r="J86" s="76">
        <v>0</v>
      </c>
      <c r="K86" s="189">
        <f t="shared" si="7"/>
        <v>1516915</v>
      </c>
      <c r="L86" s="15">
        <f t="shared" si="6"/>
        <v>0</v>
      </c>
      <c r="N86" s="75"/>
    </row>
    <row r="87" spans="1:14">
      <c r="A87" s="60">
        <v>291</v>
      </c>
      <c r="B87" s="54" t="s">
        <v>70</v>
      </c>
      <c r="C87" s="14">
        <v>6500</v>
      </c>
      <c r="D87" s="14"/>
      <c r="E87" s="14"/>
      <c r="F87" s="76"/>
      <c r="G87" s="76"/>
      <c r="H87" s="14"/>
      <c r="I87" s="10">
        <f t="shared" si="3"/>
        <v>6500</v>
      </c>
      <c r="J87" s="76">
        <v>2630.1</v>
      </c>
      <c r="K87" s="189">
        <f t="shared" si="7"/>
        <v>3869.9</v>
      </c>
      <c r="L87" s="15">
        <f t="shared" si="6"/>
        <v>2.2106111554393241E-3</v>
      </c>
      <c r="N87" s="75"/>
    </row>
    <row r="88" spans="1:14">
      <c r="A88" s="60">
        <v>292</v>
      </c>
      <c r="B88" s="54" t="s">
        <v>71</v>
      </c>
      <c r="C88" s="14">
        <v>1300</v>
      </c>
      <c r="D88" s="14"/>
      <c r="E88" s="14"/>
      <c r="F88" s="76"/>
      <c r="G88" s="76"/>
      <c r="H88" s="14"/>
      <c r="I88" s="10">
        <f t="shared" si="3"/>
        <v>1300</v>
      </c>
      <c r="J88" s="76">
        <v>360.05999999999995</v>
      </c>
      <c r="K88" s="189">
        <f t="shared" si="7"/>
        <v>939.94</v>
      </c>
      <c r="L88" s="15">
        <f t="shared" si="6"/>
        <v>3.026320872314676E-4</v>
      </c>
      <c r="N88" s="75"/>
    </row>
    <row r="89" spans="1:14">
      <c r="A89" s="60">
        <v>294</v>
      </c>
      <c r="B89" s="54" t="s">
        <v>72</v>
      </c>
      <c r="C89" s="14">
        <v>65000</v>
      </c>
      <c r="D89" s="13"/>
      <c r="E89" s="13"/>
      <c r="F89" s="98"/>
      <c r="G89" s="98"/>
      <c r="H89" s="13"/>
      <c r="I89" s="10">
        <f t="shared" si="3"/>
        <v>65000</v>
      </c>
      <c r="J89" s="76">
        <v>16068.95</v>
      </c>
      <c r="K89" s="189">
        <f t="shared" si="7"/>
        <v>48931.05</v>
      </c>
      <c r="L89" s="15">
        <f t="shared" si="6"/>
        <v>1.3506026434811122E-2</v>
      </c>
      <c r="N89" s="75"/>
    </row>
    <row r="90" spans="1:14">
      <c r="A90" s="60">
        <v>296</v>
      </c>
      <c r="B90" s="54" t="s">
        <v>114</v>
      </c>
      <c r="C90" s="14">
        <v>800</v>
      </c>
      <c r="D90" s="14"/>
      <c r="E90" s="14"/>
      <c r="F90" s="76"/>
      <c r="G90" s="76"/>
      <c r="H90" s="14"/>
      <c r="I90" s="10">
        <f>C90+D90-E90+F90-G90</f>
        <v>800</v>
      </c>
      <c r="J90" s="76">
        <v>0</v>
      </c>
      <c r="K90" s="189">
        <f t="shared" si="7"/>
        <v>800</v>
      </c>
      <c r="L90" s="15">
        <f t="shared" si="6"/>
        <v>0</v>
      </c>
      <c r="N90" s="75"/>
    </row>
    <row r="91" spans="1:14">
      <c r="A91" s="60">
        <v>297</v>
      </c>
      <c r="B91" s="54" t="s">
        <v>73</v>
      </c>
      <c r="C91" s="14">
        <v>800</v>
      </c>
      <c r="D91" s="14"/>
      <c r="E91" s="14"/>
      <c r="F91" s="76"/>
      <c r="G91" s="76"/>
      <c r="H91" s="14"/>
      <c r="I91" s="10">
        <f t="shared" si="3"/>
        <v>800</v>
      </c>
      <c r="J91" s="76">
        <v>0</v>
      </c>
      <c r="K91" s="189">
        <f t="shared" si="7"/>
        <v>800</v>
      </c>
      <c r="L91" s="15">
        <f t="shared" si="6"/>
        <v>0</v>
      </c>
      <c r="N91" s="75"/>
    </row>
    <row r="92" spans="1:14">
      <c r="A92" s="60">
        <v>298</v>
      </c>
      <c r="B92" s="54" t="s">
        <v>26</v>
      </c>
      <c r="C92" s="14">
        <v>20000</v>
      </c>
      <c r="D92" s="13"/>
      <c r="E92" s="13"/>
      <c r="F92" s="76"/>
      <c r="G92" s="76"/>
      <c r="H92" s="14"/>
      <c r="I92" s="10">
        <f t="shared" si="3"/>
        <v>20000</v>
      </c>
      <c r="J92" s="76">
        <v>3028.9399999999996</v>
      </c>
      <c r="K92" s="189">
        <f t="shared" si="7"/>
        <v>16971.060000000001</v>
      </c>
      <c r="L92" s="15">
        <f t="shared" si="6"/>
        <v>2.5458380111616995E-3</v>
      </c>
      <c r="N92" s="75"/>
    </row>
    <row r="93" spans="1:14">
      <c r="A93" s="60">
        <v>299</v>
      </c>
      <c r="B93" s="54" t="s">
        <v>74</v>
      </c>
      <c r="C93" s="14">
        <v>15000</v>
      </c>
      <c r="D93" s="13"/>
      <c r="E93" s="13"/>
      <c r="F93" s="98"/>
      <c r="G93" s="98"/>
      <c r="H93" s="13"/>
      <c r="I93" s="10">
        <f t="shared" si="3"/>
        <v>15000</v>
      </c>
      <c r="J93" s="76">
        <v>1399.14</v>
      </c>
      <c r="K93" s="189">
        <f t="shared" si="7"/>
        <v>13600.86</v>
      </c>
      <c r="L93" s="15">
        <f t="shared" si="6"/>
        <v>1.1759836097568065E-3</v>
      </c>
      <c r="N93" s="75"/>
    </row>
    <row r="94" spans="1:14">
      <c r="A94" s="59">
        <v>3</v>
      </c>
      <c r="B94" s="59" t="s">
        <v>12</v>
      </c>
      <c r="C94" s="14"/>
      <c r="D94" s="14"/>
      <c r="E94" s="14"/>
      <c r="F94" s="76"/>
      <c r="G94" s="76"/>
      <c r="H94" s="14"/>
      <c r="I94" s="10"/>
      <c r="J94" s="105"/>
      <c r="K94" s="189"/>
      <c r="L94" s="15"/>
      <c r="N94" s="75"/>
    </row>
    <row r="95" spans="1:14">
      <c r="A95" s="60">
        <v>322</v>
      </c>
      <c r="B95" s="54" t="s">
        <v>88</v>
      </c>
      <c r="C95" s="14">
        <v>32000</v>
      </c>
      <c r="D95" s="14"/>
      <c r="E95" s="14"/>
      <c r="F95" s="76"/>
      <c r="G95" s="76"/>
      <c r="H95" s="14"/>
      <c r="I95" s="10">
        <f t="shared" si="3"/>
        <v>32000</v>
      </c>
      <c r="J95" s="76">
        <v>0</v>
      </c>
      <c r="K95" s="189">
        <f t="shared" ref="K95:K106" si="8">I95-J95</f>
        <v>32000</v>
      </c>
      <c r="L95" s="15">
        <f>J95/$J$108</f>
        <v>0</v>
      </c>
      <c r="N95" s="75"/>
    </row>
    <row r="96" spans="1:14">
      <c r="A96" s="60">
        <v>323</v>
      </c>
      <c r="B96" s="54" t="s">
        <v>140</v>
      </c>
      <c r="C96" s="14">
        <v>3000</v>
      </c>
      <c r="D96" s="14"/>
      <c r="E96" s="14"/>
      <c r="F96" s="76"/>
      <c r="G96" s="76"/>
      <c r="H96" s="14"/>
      <c r="I96" s="10">
        <f t="shared" si="3"/>
        <v>3000</v>
      </c>
      <c r="J96" s="76">
        <v>0</v>
      </c>
      <c r="K96" s="189">
        <f t="shared" si="8"/>
        <v>3000</v>
      </c>
      <c r="L96" s="15">
        <f>J96/$J$108</f>
        <v>0</v>
      </c>
      <c r="N96" s="75"/>
    </row>
    <row r="97" spans="1:14">
      <c r="A97" s="60">
        <v>324</v>
      </c>
      <c r="B97" s="54" t="s">
        <v>141</v>
      </c>
      <c r="C97" s="14">
        <v>116220</v>
      </c>
      <c r="D97" s="14"/>
      <c r="E97" s="14"/>
      <c r="F97" s="76"/>
      <c r="G97" s="76"/>
      <c r="H97" s="14"/>
      <c r="I97" s="10">
        <f t="shared" si="3"/>
        <v>116220</v>
      </c>
      <c r="J97" s="76">
        <v>9840.18</v>
      </c>
      <c r="K97" s="189">
        <f t="shared" si="8"/>
        <v>106379.82</v>
      </c>
      <c r="L97" s="15">
        <f>J97/$J$108</f>
        <v>8.270716580940243E-3</v>
      </c>
      <c r="N97" s="75"/>
    </row>
    <row r="98" spans="1:14">
      <c r="A98" s="60">
        <v>328</v>
      </c>
      <c r="B98" s="54" t="s">
        <v>89</v>
      </c>
      <c r="C98" s="14">
        <v>18000</v>
      </c>
      <c r="D98" s="14"/>
      <c r="E98" s="14"/>
      <c r="F98" s="76"/>
      <c r="G98" s="76"/>
      <c r="H98" s="14"/>
      <c r="I98" s="10">
        <f t="shared" si="3"/>
        <v>18000</v>
      </c>
      <c r="J98" s="76">
        <v>375</v>
      </c>
      <c r="K98" s="189">
        <f t="shared" si="8"/>
        <v>17625</v>
      </c>
      <c r="L98" s="15">
        <f>J98/$J$108</f>
        <v>3.1518922599511298E-4</v>
      </c>
      <c r="N98" s="75"/>
    </row>
    <row r="99" spans="1:14">
      <c r="A99" s="60">
        <v>329</v>
      </c>
      <c r="B99" s="54" t="s">
        <v>90</v>
      </c>
      <c r="C99" s="14">
        <v>8000</v>
      </c>
      <c r="D99" s="14"/>
      <c r="E99" s="14"/>
      <c r="F99" s="76"/>
      <c r="G99" s="76"/>
      <c r="H99" s="14"/>
      <c r="I99" s="10">
        <f t="shared" si="3"/>
        <v>8000</v>
      </c>
      <c r="J99" s="76">
        <v>0</v>
      </c>
      <c r="K99" s="189">
        <f t="shared" si="8"/>
        <v>8000</v>
      </c>
      <c r="L99" s="15">
        <f>J99/$J$108</f>
        <v>0</v>
      </c>
      <c r="N99" s="75"/>
    </row>
    <row r="100" spans="1:14">
      <c r="A100" s="59"/>
      <c r="B100" s="59"/>
      <c r="C100" s="14"/>
      <c r="D100" s="14"/>
      <c r="E100" s="14"/>
      <c r="F100" s="76"/>
      <c r="G100" s="76"/>
      <c r="H100" s="14"/>
      <c r="I100" s="10"/>
      <c r="J100" s="76"/>
      <c r="K100" s="189"/>
      <c r="L100" s="15"/>
      <c r="N100" s="75"/>
    </row>
    <row r="101" spans="1:14">
      <c r="A101" s="59">
        <v>4</v>
      </c>
      <c r="B101" s="59" t="s">
        <v>13</v>
      </c>
      <c r="C101" s="14"/>
      <c r="D101" s="14"/>
      <c r="E101" s="14"/>
      <c r="F101" s="76"/>
      <c r="G101" s="76"/>
      <c r="H101" s="14"/>
      <c r="I101" s="10"/>
      <c r="J101" s="76"/>
      <c r="K101" s="189"/>
      <c r="L101" s="15"/>
      <c r="N101" s="75"/>
    </row>
    <row r="102" spans="1:14">
      <c r="A102" s="61">
        <v>413</v>
      </c>
      <c r="B102" s="62" t="s">
        <v>77</v>
      </c>
      <c r="C102" s="14">
        <v>46000</v>
      </c>
      <c r="D102" s="14"/>
      <c r="E102" s="14"/>
      <c r="F102" s="76"/>
      <c r="G102" s="129"/>
      <c r="H102" s="17"/>
      <c r="I102" s="10">
        <f t="shared" ref="I102:I106" si="9">C102+D102-E102+F102-G102</f>
        <v>46000</v>
      </c>
      <c r="J102" s="76">
        <v>0</v>
      </c>
      <c r="K102" s="189">
        <f t="shared" si="8"/>
        <v>46000</v>
      </c>
      <c r="L102" s="15">
        <f>J102/$J$108</f>
        <v>0</v>
      </c>
      <c r="N102" s="75"/>
    </row>
    <row r="103" spans="1:14">
      <c r="A103" s="61">
        <v>415</v>
      </c>
      <c r="B103" s="62" t="s">
        <v>78</v>
      </c>
      <c r="C103" s="14">
        <v>30100</v>
      </c>
      <c r="D103" s="14"/>
      <c r="E103" s="14"/>
      <c r="F103" s="76"/>
      <c r="G103" s="129"/>
      <c r="H103" s="17"/>
      <c r="I103" s="10">
        <f t="shared" si="9"/>
        <v>30100</v>
      </c>
      <c r="J103" s="76">
        <v>0</v>
      </c>
      <c r="K103" s="189">
        <f t="shared" si="8"/>
        <v>30100</v>
      </c>
      <c r="L103" s="15">
        <f>J103/$J$108</f>
        <v>0</v>
      </c>
      <c r="N103" s="75"/>
    </row>
    <row r="104" spans="1:14">
      <c r="A104" s="61">
        <v>419</v>
      </c>
      <c r="B104" s="62" t="s">
        <v>79</v>
      </c>
      <c r="C104" s="14">
        <v>19200</v>
      </c>
      <c r="D104" s="14"/>
      <c r="E104" s="14"/>
      <c r="F104" s="129"/>
      <c r="G104" s="129"/>
      <c r="H104" s="17"/>
      <c r="I104" s="10">
        <f t="shared" si="9"/>
        <v>19200</v>
      </c>
      <c r="J104" s="76">
        <v>600</v>
      </c>
      <c r="K104" s="189">
        <f t="shared" si="8"/>
        <v>18600</v>
      </c>
      <c r="L104" s="15">
        <f>J104/$J$108</f>
        <v>5.043027615921808E-4</v>
      </c>
      <c r="N104" s="75"/>
    </row>
    <row r="105" spans="1:14">
      <c r="A105" s="61">
        <v>453</v>
      </c>
      <c r="B105" s="62" t="s">
        <v>80</v>
      </c>
      <c r="C105" s="14">
        <v>120000</v>
      </c>
      <c r="D105" s="14"/>
      <c r="E105" s="14"/>
      <c r="F105" s="129"/>
      <c r="G105" s="129"/>
      <c r="H105" s="17"/>
      <c r="I105" s="10">
        <f>C105+D105-E105+F105-G105</f>
        <v>120000</v>
      </c>
      <c r="J105" s="76">
        <v>79286.350000000006</v>
      </c>
      <c r="K105" s="189">
        <f t="shared" si="8"/>
        <v>40713.649999999994</v>
      </c>
      <c r="L105" s="15">
        <f>J105/$J$108</f>
        <v>6.6640542102607003E-2</v>
      </c>
      <c r="N105" s="75"/>
    </row>
    <row r="106" spans="1:14">
      <c r="A106" s="61">
        <v>472</v>
      </c>
      <c r="B106" s="62" t="s">
        <v>118</v>
      </c>
      <c r="C106" s="14">
        <v>4000</v>
      </c>
      <c r="D106" s="14"/>
      <c r="E106" s="14"/>
      <c r="F106" s="129"/>
      <c r="G106" s="129"/>
      <c r="H106" s="17"/>
      <c r="I106" s="10">
        <f t="shared" si="9"/>
        <v>4000</v>
      </c>
      <c r="J106" s="76">
        <v>2089.9</v>
      </c>
      <c r="K106" s="189">
        <f t="shared" si="8"/>
        <v>1910.1</v>
      </c>
      <c r="L106" s="15">
        <f>J106/$J$108</f>
        <v>1.756570569085831E-3</v>
      </c>
      <c r="N106" s="75"/>
    </row>
    <row r="107" spans="1:14" ht="20.25" customHeight="1" thickBot="1">
      <c r="A107" s="56"/>
      <c r="B107" s="57"/>
      <c r="C107" s="16"/>
      <c r="D107" s="14"/>
      <c r="E107" s="14"/>
      <c r="F107" s="101"/>
      <c r="G107" s="101"/>
      <c r="H107" s="58"/>
      <c r="I107" s="10"/>
      <c r="J107" s="101"/>
      <c r="K107" s="193"/>
      <c r="L107" s="15"/>
    </row>
    <row r="108" spans="1:14" ht="20.25" customHeight="1" thickBot="1">
      <c r="A108" s="49"/>
      <c r="B108" s="19" t="s">
        <v>7</v>
      </c>
      <c r="C108" s="11">
        <f>SUM(C20:C107)</f>
        <v>6176079.2063746657</v>
      </c>
      <c r="D108" s="11">
        <f>SUM(D20:D107)</f>
        <v>0</v>
      </c>
      <c r="E108" s="11">
        <f>SUM(E20:E107)</f>
        <v>0</v>
      </c>
      <c r="F108" s="11">
        <f t="shared" ref="F108:K108" si="10">SUM(F20:F107)</f>
        <v>0</v>
      </c>
      <c r="G108" s="11">
        <f t="shared" si="10"/>
        <v>0</v>
      </c>
      <c r="H108" s="11">
        <f t="shared" si="10"/>
        <v>0</v>
      </c>
      <c r="I108" s="11">
        <f t="shared" si="10"/>
        <v>6176079.2063746657</v>
      </c>
      <c r="J108" s="63">
        <f t="shared" si="10"/>
        <v>1189761.4799999997</v>
      </c>
      <c r="K108" s="191">
        <f t="shared" si="10"/>
        <v>4986317.7263746671</v>
      </c>
      <c r="L108" s="50">
        <f>J108/J108</f>
        <v>1</v>
      </c>
      <c r="M108" s="5"/>
    </row>
    <row r="109" spans="1:14" ht="20.25" customHeight="1">
      <c r="A109" s="18"/>
      <c r="B109" s="36"/>
      <c r="C109" s="37"/>
      <c r="D109" s="37"/>
      <c r="E109" s="37"/>
      <c r="F109" s="37"/>
      <c r="G109" s="64"/>
      <c r="H109" s="37"/>
      <c r="I109" s="37"/>
      <c r="J109" s="32"/>
      <c r="K109" s="194"/>
      <c r="L109" s="39"/>
      <c r="M109" s="5"/>
    </row>
    <row r="110" spans="1:14" ht="20.25" customHeight="1" thickBot="1">
      <c r="A110" s="18"/>
      <c r="B110" s="36"/>
      <c r="C110" s="37"/>
      <c r="D110" s="37"/>
      <c r="E110" s="37"/>
      <c r="F110" s="37"/>
      <c r="G110" s="37"/>
      <c r="H110" s="37"/>
      <c r="I110" s="37"/>
      <c r="J110" s="32"/>
      <c r="K110" s="194"/>
      <c r="L110" s="39"/>
      <c r="M110" s="5"/>
    </row>
    <row r="111" spans="1:14" s="27" customFormat="1">
      <c r="A111" s="81" t="s">
        <v>8</v>
      </c>
      <c r="B111" s="81"/>
      <c r="C111" s="78"/>
      <c r="D111" s="25"/>
      <c r="E111" s="25"/>
      <c r="F111" s="96"/>
      <c r="G111" s="96"/>
      <c r="H111" s="30"/>
      <c r="I111" s="66"/>
      <c r="J111" s="32"/>
      <c r="K111" s="195"/>
      <c r="L111" s="26"/>
    </row>
    <row r="112" spans="1:14" s="27" customFormat="1">
      <c r="A112" s="84" t="s">
        <v>0</v>
      </c>
      <c r="B112" s="84"/>
      <c r="C112" s="80"/>
      <c r="D112" s="25"/>
      <c r="E112" s="25"/>
      <c r="F112" s="96"/>
      <c r="G112" s="96"/>
      <c r="H112" s="30"/>
      <c r="I112" s="66"/>
      <c r="J112" s="32"/>
      <c r="K112" s="195"/>
      <c r="L112" s="26"/>
    </row>
    <row r="113" spans="1:12" s="27" customFormat="1" ht="12" customHeight="1" thickBot="1">
      <c r="A113" s="84"/>
      <c r="B113" s="84"/>
      <c r="C113" s="80"/>
      <c r="D113" s="25"/>
      <c r="E113" s="25"/>
      <c r="F113" s="96"/>
      <c r="G113" s="96"/>
      <c r="H113" s="30"/>
      <c r="I113" s="66"/>
      <c r="J113" s="32"/>
      <c r="K113" s="195"/>
      <c r="L113" s="26"/>
    </row>
    <row r="114" spans="1:12" s="27" customFormat="1">
      <c r="A114" s="90" t="s">
        <v>121</v>
      </c>
      <c r="B114" s="85"/>
      <c r="C114" s="86"/>
      <c r="D114" s="25"/>
      <c r="E114" s="25"/>
      <c r="F114" s="96"/>
      <c r="G114" s="96"/>
      <c r="H114" s="30"/>
      <c r="I114" s="66"/>
      <c r="J114" s="32"/>
      <c r="K114" s="195"/>
      <c r="L114" s="26"/>
    </row>
    <row r="115" spans="1:12" s="27" customFormat="1">
      <c r="A115" s="91" t="s">
        <v>131</v>
      </c>
      <c r="B115" s="83"/>
      <c r="C115" s="106">
        <v>1077959.21</v>
      </c>
      <c r="D115" s="25"/>
      <c r="E115" s="134"/>
      <c r="F115" s="96"/>
      <c r="G115" s="96"/>
      <c r="H115" s="30"/>
      <c r="I115" s="66"/>
      <c r="J115" s="32"/>
      <c r="K115" s="195"/>
      <c r="L115" s="26"/>
    </row>
    <row r="116" spans="1:12" s="27" customFormat="1">
      <c r="A116" s="91" t="s">
        <v>81</v>
      </c>
      <c r="B116" s="83"/>
      <c r="C116" s="106">
        <f>ROUND((J18),2)</f>
        <v>528933.77</v>
      </c>
      <c r="D116" s="25"/>
      <c r="E116" s="134"/>
      <c r="F116" s="135"/>
      <c r="G116" s="96"/>
      <c r="H116" s="30"/>
      <c r="I116" s="66"/>
      <c r="J116" s="32"/>
      <c r="K116" s="195"/>
      <c r="L116" s="26"/>
    </row>
    <row r="117" spans="1:12" s="27" customFormat="1">
      <c r="A117" s="91" t="s">
        <v>94</v>
      </c>
      <c r="B117" s="83"/>
      <c r="C117" s="107">
        <f>-ROUND((J108),2)</f>
        <v>-1189761.48</v>
      </c>
      <c r="D117" s="25"/>
      <c r="E117" s="134"/>
      <c r="F117" s="135"/>
      <c r="G117" s="96"/>
      <c r="H117" s="30"/>
      <c r="I117" s="66"/>
      <c r="J117" s="32"/>
      <c r="K117" s="195"/>
      <c r="L117" s="26"/>
    </row>
    <row r="118" spans="1:12" s="27" customFormat="1">
      <c r="A118" s="93" t="s">
        <v>120</v>
      </c>
      <c r="B118" s="83"/>
      <c r="C118" s="108">
        <f>SUM(C115:C117)</f>
        <v>417131.5</v>
      </c>
      <c r="D118" s="79"/>
      <c r="E118" s="134"/>
      <c r="F118" s="135"/>
      <c r="G118" s="96"/>
      <c r="H118" s="30"/>
      <c r="I118" s="66"/>
      <c r="J118" s="32"/>
      <c r="K118" s="195"/>
      <c r="L118" s="26"/>
    </row>
    <row r="119" spans="1:12" s="27" customFormat="1">
      <c r="A119" s="92" t="s">
        <v>122</v>
      </c>
      <c r="B119" s="82"/>
      <c r="C119" s="119"/>
      <c r="D119" s="25"/>
      <c r="E119" s="25"/>
      <c r="F119" s="130"/>
      <c r="G119" s="118"/>
      <c r="H119" s="30"/>
      <c r="I119" s="66"/>
      <c r="J119" s="32"/>
      <c r="K119" s="195"/>
      <c r="L119" s="26"/>
    </row>
    <row r="120" spans="1:12" s="27" customFormat="1">
      <c r="A120" s="91" t="s">
        <v>143</v>
      </c>
      <c r="B120" s="83"/>
      <c r="C120" s="106">
        <v>-5000</v>
      </c>
      <c r="D120" s="25"/>
      <c r="E120" s="25"/>
      <c r="F120" s="131"/>
      <c r="G120" s="118"/>
      <c r="H120" s="30"/>
      <c r="I120" s="66"/>
      <c r="J120" s="32"/>
      <c r="K120" s="195"/>
      <c r="L120" s="26"/>
    </row>
    <row r="121" spans="1:12" s="35" customFormat="1" ht="6.95" customHeight="1">
      <c r="A121" s="91"/>
      <c r="B121" s="83"/>
      <c r="C121" s="109"/>
      <c r="D121" s="32"/>
      <c r="E121" s="95"/>
      <c r="F121" s="117"/>
      <c r="G121" s="118"/>
      <c r="H121" s="96"/>
      <c r="I121" s="42"/>
      <c r="J121" s="32"/>
      <c r="K121" s="195"/>
      <c r="L121" s="34"/>
    </row>
    <row r="122" spans="1:12" s="27" customFormat="1">
      <c r="A122" s="91"/>
      <c r="B122" s="83"/>
      <c r="C122" s="108">
        <f>SUM(C120:C121)</f>
        <v>-5000</v>
      </c>
      <c r="D122" s="25"/>
      <c r="E122" s="25"/>
      <c r="F122" s="117"/>
      <c r="G122" s="118"/>
      <c r="H122" s="30"/>
      <c r="I122" s="66"/>
      <c r="J122" s="32"/>
      <c r="K122" s="195"/>
      <c r="L122" s="26"/>
    </row>
    <row r="123" spans="1:12" s="27" customFormat="1" ht="6.95" customHeight="1">
      <c r="A123" s="91"/>
      <c r="B123" s="83"/>
      <c r="C123" s="107"/>
      <c r="D123" s="25"/>
      <c r="E123" s="25"/>
      <c r="F123" s="96"/>
      <c r="G123" s="96"/>
      <c r="H123" s="30"/>
      <c r="I123" s="66"/>
      <c r="J123" s="32"/>
      <c r="K123" s="195"/>
      <c r="L123" s="26"/>
    </row>
    <row r="124" spans="1:12" s="27" customFormat="1" ht="6.95" customHeight="1">
      <c r="A124" s="91"/>
      <c r="B124" s="83"/>
      <c r="C124" s="110"/>
      <c r="D124" s="25"/>
      <c r="E124" s="25"/>
      <c r="F124" s="96"/>
      <c r="G124" s="96"/>
      <c r="H124" s="30"/>
      <c r="I124" s="66"/>
      <c r="J124" s="32"/>
      <c r="K124" s="195"/>
      <c r="L124" s="26"/>
    </row>
    <row r="125" spans="1:12" s="27" customFormat="1" ht="18.75" thickBot="1">
      <c r="A125" s="93" t="s">
        <v>151</v>
      </c>
      <c r="B125" s="88"/>
      <c r="C125" s="111">
        <f>C118+C122</f>
        <v>412131.5</v>
      </c>
      <c r="D125" s="138"/>
      <c r="F125" s="96"/>
      <c r="G125" s="96"/>
      <c r="H125" s="30"/>
      <c r="I125" s="66"/>
      <c r="J125" s="32"/>
      <c r="K125" s="195"/>
      <c r="L125" s="26"/>
    </row>
    <row r="126" spans="1:12" s="27" customFormat="1" ht="6.95" customHeight="1" thickTop="1" thickBot="1">
      <c r="A126" s="94"/>
      <c r="B126" s="87"/>
      <c r="C126" s="112"/>
      <c r="D126" s="138"/>
      <c r="F126" s="96"/>
      <c r="G126" s="96"/>
      <c r="H126" s="30"/>
      <c r="I126" s="66"/>
      <c r="J126" s="32"/>
      <c r="K126" s="195"/>
      <c r="L126" s="26"/>
    </row>
    <row r="127" spans="1:12">
      <c r="A127" s="73"/>
      <c r="B127" s="73"/>
      <c r="C127" s="139">
        <f>412131.5-C125</f>
        <v>0</v>
      </c>
      <c r="D127" s="138"/>
      <c r="F127" s="136"/>
      <c r="G127" s="102"/>
      <c r="H127" s="2"/>
      <c r="I127" s="2"/>
      <c r="J127" s="102"/>
      <c r="L127" s="2"/>
    </row>
    <row r="128" spans="1:12">
      <c r="A128" s="73"/>
      <c r="B128" s="73"/>
      <c r="C128" s="120"/>
      <c r="D128" s="138"/>
      <c r="F128" s="102"/>
      <c r="G128" s="102"/>
      <c r="H128" s="2"/>
      <c r="I128" s="2"/>
      <c r="J128" s="102"/>
      <c r="L128" s="2"/>
    </row>
    <row r="129" spans="1:13">
      <c r="A129" s="89"/>
      <c r="B129" s="137" t="s">
        <v>157</v>
      </c>
      <c r="C129" s="77"/>
      <c r="D129" s="138"/>
      <c r="E129" s="51"/>
      <c r="F129" s="102"/>
      <c r="G129" s="102"/>
      <c r="I129" s="2"/>
      <c r="J129" s="102"/>
      <c r="L129" s="2"/>
    </row>
    <row r="130" spans="1:13">
      <c r="A130" s="89"/>
      <c r="B130" s="73"/>
      <c r="C130" s="121"/>
      <c r="D130" s="138"/>
      <c r="E130" s="2"/>
      <c r="F130" s="102"/>
      <c r="G130" s="102"/>
      <c r="H130" s="2"/>
      <c r="I130" s="2"/>
      <c r="J130" s="102"/>
      <c r="L130" s="2"/>
    </row>
    <row r="131" spans="1:13">
      <c r="A131" s="89"/>
      <c r="B131" s="73"/>
      <c r="C131" s="121"/>
      <c r="D131" s="138"/>
      <c r="E131" s="2"/>
      <c r="F131" s="102"/>
      <c r="G131" s="102"/>
      <c r="H131" s="2"/>
      <c r="I131" s="2"/>
      <c r="J131" s="102"/>
      <c r="L131" s="2"/>
    </row>
    <row r="132" spans="1:13">
      <c r="A132" s="89"/>
      <c r="B132" s="73"/>
      <c r="C132" s="75"/>
      <c r="D132" s="138"/>
      <c r="E132" s="2"/>
      <c r="F132" s="102"/>
      <c r="G132" s="102"/>
      <c r="H132" s="2"/>
      <c r="I132" s="2"/>
      <c r="J132" s="102"/>
      <c r="L132" s="2"/>
    </row>
    <row r="133" spans="1:13">
      <c r="A133" s="89"/>
      <c r="B133" s="73"/>
      <c r="C133" s="75"/>
      <c r="E133" s="2"/>
      <c r="F133" s="102"/>
      <c r="G133" s="102"/>
      <c r="H133" s="2"/>
      <c r="I133" s="2"/>
      <c r="J133" s="102"/>
      <c r="L133" s="2"/>
    </row>
    <row r="134" spans="1:13">
      <c r="A134" s="18"/>
      <c r="B134" s="73"/>
      <c r="C134" s="20"/>
      <c r="D134" s="66"/>
      <c r="E134" s="51"/>
      <c r="F134" s="95"/>
      <c r="G134" s="102"/>
      <c r="H134" s="2"/>
      <c r="I134" s="2"/>
      <c r="J134" s="102"/>
      <c r="L134" s="2"/>
    </row>
    <row r="135" spans="1:13">
      <c r="A135" s="18"/>
      <c r="B135" s="2"/>
      <c r="C135" s="21"/>
      <c r="D135" s="2"/>
      <c r="E135" s="51"/>
      <c r="F135" s="95"/>
      <c r="G135" s="102"/>
      <c r="H135" s="2"/>
      <c r="I135" s="2"/>
      <c r="J135" s="102"/>
      <c r="L135" s="2"/>
    </row>
    <row r="136" spans="1:13" ht="18.75">
      <c r="A136" s="18"/>
      <c r="B136" s="23" t="s">
        <v>152</v>
      </c>
      <c r="C136" s="155" t="s">
        <v>153</v>
      </c>
      <c r="E136" s="23"/>
      <c r="F136" s="103"/>
      <c r="G136" s="155" t="s">
        <v>156</v>
      </c>
      <c r="J136" s="103"/>
      <c r="K136" s="197"/>
      <c r="L136" s="23"/>
    </row>
    <row r="137" spans="1:13" ht="18.75">
      <c r="A137" s="18"/>
      <c r="B137" s="154" t="s">
        <v>154</v>
      </c>
      <c r="C137" s="156" t="s">
        <v>155</v>
      </c>
      <c r="E137" s="22"/>
      <c r="F137" s="145"/>
      <c r="G137" s="156" t="s">
        <v>148</v>
      </c>
      <c r="J137" s="104"/>
      <c r="K137" s="197"/>
      <c r="L137" s="22"/>
    </row>
    <row r="138" spans="1:13" ht="18.75">
      <c r="A138" s="18"/>
      <c r="B138" s="22"/>
      <c r="D138" s="24"/>
      <c r="E138" s="22"/>
      <c r="F138" s="104"/>
      <c r="G138" s="104"/>
      <c r="H138" s="22"/>
      <c r="I138" s="46"/>
      <c r="J138" s="104"/>
      <c r="K138" s="197"/>
      <c r="L138" s="22"/>
    </row>
    <row r="139" spans="1:13" ht="18.75">
      <c r="A139" s="18"/>
      <c r="B139" s="22"/>
      <c r="C139" s="75"/>
      <c r="D139" s="22"/>
      <c r="F139" s="104"/>
      <c r="G139" s="104"/>
      <c r="H139" s="22"/>
      <c r="I139" s="22"/>
      <c r="J139" s="104"/>
      <c r="L139" s="22"/>
    </row>
    <row r="140" spans="1:13">
      <c r="A140" s="31"/>
      <c r="B140" s="153"/>
      <c r="C140" s="114"/>
      <c r="D140" s="153"/>
      <c r="F140" s="116"/>
      <c r="G140" s="116"/>
      <c r="H140" s="74"/>
      <c r="I140" s="153"/>
      <c r="J140" s="116"/>
      <c r="L140" s="26"/>
      <c r="M140" s="27"/>
    </row>
    <row r="141" spans="1:13" s="5" customFormat="1">
      <c r="A141" s="29"/>
      <c r="B141" s="113"/>
      <c r="C141" s="114"/>
      <c r="D141" s="74"/>
      <c r="E141" s="74"/>
      <c r="F141" s="116"/>
      <c r="G141" s="116"/>
      <c r="H141" s="74"/>
      <c r="I141" s="74"/>
      <c r="J141" s="116"/>
      <c r="K141" s="195"/>
      <c r="L141" s="34"/>
      <c r="M141" s="35"/>
    </row>
    <row r="142" spans="1:13" s="5" customFormat="1">
      <c r="A142" s="36"/>
      <c r="B142" s="28"/>
      <c r="C142" s="115"/>
      <c r="D142" s="74"/>
      <c r="E142" s="74"/>
      <c r="F142" s="116"/>
      <c r="G142" s="116"/>
      <c r="H142" s="74"/>
      <c r="I142" s="74"/>
      <c r="J142" s="116"/>
      <c r="K142" s="194"/>
      <c r="L142" s="39"/>
      <c r="M142" s="35"/>
    </row>
    <row r="143" spans="1:13" s="5" customFormat="1">
      <c r="A143" s="36"/>
      <c r="B143" s="259"/>
      <c r="C143" s="259"/>
      <c r="D143" s="41"/>
      <c r="E143" s="40"/>
      <c r="F143" s="28"/>
      <c r="G143" s="28"/>
      <c r="H143" s="40"/>
      <c r="I143" s="40"/>
      <c r="J143" s="40"/>
      <c r="K143" s="198"/>
      <c r="L143" s="40"/>
      <c r="M143" s="35"/>
    </row>
    <row r="144" spans="1:13" s="5" customFormat="1">
      <c r="A144" s="36"/>
      <c r="B144" s="36"/>
      <c r="C144" s="28"/>
      <c r="D144" s="28"/>
      <c r="E144" s="42"/>
      <c r="F144" s="28"/>
      <c r="G144" s="28"/>
      <c r="H144" s="42"/>
      <c r="I144" s="42"/>
      <c r="J144" s="42"/>
      <c r="K144" s="199"/>
      <c r="L144" s="42"/>
      <c r="M144" s="35"/>
    </row>
    <row r="145" spans="1:13" s="5" customFormat="1">
      <c r="A145" s="36"/>
      <c r="B145" s="43"/>
      <c r="C145" s="42"/>
      <c r="D145" s="28"/>
      <c r="E145" s="28"/>
      <c r="F145" s="28"/>
      <c r="G145" s="28"/>
      <c r="H145" s="28"/>
      <c r="I145" s="28"/>
      <c r="J145" s="28"/>
      <c r="K145" s="199"/>
      <c r="L145" s="28"/>
      <c r="M145" s="35"/>
    </row>
    <row r="146" spans="1:13" s="5" customFormat="1">
      <c r="A146" s="36"/>
      <c r="B146" s="43"/>
      <c r="C146" s="42"/>
      <c r="D146" s="28"/>
      <c r="E146" s="28"/>
      <c r="F146" s="28"/>
      <c r="G146" s="28"/>
      <c r="H146" s="28"/>
      <c r="I146" s="28"/>
      <c r="J146" s="28"/>
      <c r="K146" s="199"/>
      <c r="L146" s="44"/>
      <c r="M146" s="35"/>
    </row>
    <row r="147" spans="1:13" s="5" customFormat="1">
      <c r="A147" s="36"/>
      <c r="B147" s="43"/>
      <c r="C147" s="42"/>
      <c r="D147" s="28"/>
      <c r="E147" s="28"/>
      <c r="F147" s="28"/>
      <c r="G147" s="28"/>
      <c r="H147" s="28"/>
      <c r="I147" s="28"/>
      <c r="J147" s="28"/>
      <c r="K147" s="199"/>
      <c r="L147" s="28"/>
      <c r="M147" s="35"/>
    </row>
    <row r="148" spans="1:13" s="5" customFormat="1">
      <c r="A148" s="36"/>
      <c r="B148" s="43"/>
      <c r="C148" s="45"/>
      <c r="D148" s="28"/>
      <c r="E148" s="28"/>
      <c r="F148" s="28"/>
      <c r="G148" s="28"/>
      <c r="H148" s="28"/>
      <c r="I148" s="28"/>
      <c r="J148" s="28"/>
      <c r="K148" s="199"/>
      <c r="L148" s="28"/>
      <c r="M148" s="35"/>
    </row>
    <row r="149" spans="1:13" s="5" customFormat="1">
      <c r="A149" s="36"/>
      <c r="B149" s="43"/>
      <c r="C149" s="45"/>
      <c r="D149" s="28"/>
      <c r="E149" s="28"/>
      <c r="F149" s="35"/>
      <c r="G149" s="35"/>
      <c r="H149" s="28"/>
      <c r="I149" s="28"/>
      <c r="J149" s="28"/>
      <c r="K149" s="199"/>
      <c r="L149" s="28"/>
      <c r="M149" s="35"/>
    </row>
    <row r="150" spans="1:13" s="5" customFormat="1">
      <c r="A150" s="36"/>
      <c r="B150" s="35"/>
      <c r="C150" s="35"/>
      <c r="D150" s="28"/>
      <c r="E150" s="28"/>
      <c r="F150" s="35"/>
      <c r="G150" s="35"/>
      <c r="H150" s="28"/>
      <c r="I150" s="28"/>
      <c r="J150" s="28"/>
      <c r="K150" s="199"/>
      <c r="L150" s="28"/>
      <c r="M150" s="35"/>
    </row>
    <row r="151" spans="1:13" s="5" customFormat="1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199"/>
      <c r="L151" s="35"/>
      <c r="M151" s="35"/>
    </row>
    <row r="152" spans="1:13" s="5" customFormat="1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199"/>
      <c r="L152" s="35"/>
      <c r="M152" s="35"/>
    </row>
    <row r="153" spans="1:13" s="5" customFormat="1">
      <c r="A153" s="35"/>
      <c r="B153" s="35"/>
      <c r="C153" s="35"/>
      <c r="D153" s="35"/>
      <c r="E153" s="35"/>
      <c r="H153" s="35"/>
      <c r="I153" s="35"/>
      <c r="J153" s="35"/>
      <c r="K153" s="199"/>
      <c r="L153" s="35"/>
      <c r="M153" s="35"/>
    </row>
    <row r="154" spans="1:13" s="5" customFormat="1">
      <c r="A154" s="35"/>
      <c r="B154" s="1"/>
      <c r="C154" s="1"/>
      <c r="D154" s="35"/>
      <c r="E154" s="35"/>
      <c r="H154" s="35"/>
      <c r="I154" s="35"/>
      <c r="J154" s="35"/>
      <c r="K154" s="199"/>
      <c r="L154" s="35"/>
      <c r="M154" s="35"/>
    </row>
  </sheetData>
  <mergeCells count="6">
    <mergeCell ref="J6:J7"/>
    <mergeCell ref="B143:C143"/>
    <mergeCell ref="A6:A7"/>
    <mergeCell ref="B6:B7"/>
    <mergeCell ref="D6:E6"/>
    <mergeCell ref="F6:G6"/>
  </mergeCells>
  <printOptions horizontalCentered="1"/>
  <pageMargins left="0.39370078740157483" right="0.39370078740157483" top="0.78740157480314965" bottom="0.78740157480314965" header="0.31496062992125984" footer="0.31496062992125984"/>
  <pageSetup scale="55" orientation="landscape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4"/>
  <sheetViews>
    <sheetView showGridLines="0" zoomScale="75" zoomScaleNormal="75" workbookViewId="0">
      <selection activeCell="A15" sqref="A15"/>
    </sheetView>
  </sheetViews>
  <sheetFormatPr baseColWidth="10" defaultColWidth="11.42578125" defaultRowHeight="18"/>
  <cols>
    <col min="1" max="1" width="11.7109375" style="5" customWidth="1"/>
    <col min="2" max="2" width="67.7109375" style="5" customWidth="1"/>
    <col min="3" max="3" width="18.7109375" style="5" customWidth="1"/>
    <col min="4" max="7" width="17.7109375" style="5" customWidth="1"/>
    <col min="8" max="8" width="14.7109375" style="5" customWidth="1"/>
    <col min="9" max="9" width="18.7109375" style="5" customWidth="1"/>
    <col min="10" max="11" width="19.7109375" style="5" customWidth="1"/>
    <col min="12" max="12" width="12.7109375" style="5" customWidth="1"/>
    <col min="13" max="13" width="7" style="5" customWidth="1"/>
    <col min="14" max="14" width="19.5703125" style="5" bestFit="1" customWidth="1"/>
    <col min="15" max="16384" width="11.42578125" style="5"/>
  </cols>
  <sheetData>
    <row r="1" spans="1:14">
      <c r="A1" s="97" t="s">
        <v>39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4">
      <c r="A2" s="97" t="s">
        <v>119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4">
      <c r="A3" s="97" t="s">
        <v>160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</row>
    <row r="4" spans="1:14" ht="17.850000000000001" customHeight="1">
      <c r="A4" s="97" t="s">
        <v>0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</row>
    <row r="5" spans="1:14" ht="17.850000000000001" customHeight="1" thickBo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</row>
    <row r="6" spans="1:14" ht="18.75" thickBot="1">
      <c r="A6" s="260" t="s">
        <v>5</v>
      </c>
      <c r="B6" s="262" t="s">
        <v>40</v>
      </c>
      <c r="C6" s="3" t="s">
        <v>1</v>
      </c>
      <c r="D6" s="264" t="s">
        <v>147</v>
      </c>
      <c r="E6" s="264"/>
      <c r="F6" s="264" t="s">
        <v>38</v>
      </c>
      <c r="G6" s="264"/>
      <c r="H6" s="3" t="s">
        <v>42</v>
      </c>
      <c r="I6" s="3" t="s">
        <v>1</v>
      </c>
      <c r="J6" s="257" t="s">
        <v>2</v>
      </c>
      <c r="K6" s="4" t="s">
        <v>29</v>
      </c>
      <c r="L6" s="3" t="s">
        <v>31</v>
      </c>
    </row>
    <row r="7" spans="1:14" ht="18.75" thickBot="1">
      <c r="A7" s="261"/>
      <c r="B7" s="263"/>
      <c r="C7" s="6" t="s">
        <v>3</v>
      </c>
      <c r="D7" s="7" t="s">
        <v>145</v>
      </c>
      <c r="E7" s="7" t="s">
        <v>146</v>
      </c>
      <c r="F7" s="7" t="s">
        <v>145</v>
      </c>
      <c r="G7" s="7" t="s">
        <v>146</v>
      </c>
      <c r="H7" s="6" t="s">
        <v>33</v>
      </c>
      <c r="I7" s="6" t="s">
        <v>4</v>
      </c>
      <c r="J7" s="258"/>
      <c r="K7" s="8" t="s">
        <v>30</v>
      </c>
      <c r="L7" s="9" t="s">
        <v>32</v>
      </c>
    </row>
    <row r="8" spans="1:14">
      <c r="A8" s="69"/>
      <c r="B8" s="71" t="s">
        <v>116</v>
      </c>
      <c r="C8" s="98"/>
      <c r="D8" s="98"/>
      <c r="E8" s="98"/>
      <c r="F8" s="98"/>
      <c r="G8" s="98"/>
      <c r="H8" s="98"/>
      <c r="I8" s="98"/>
      <c r="J8" s="98"/>
      <c r="K8" s="98"/>
      <c r="L8" s="98"/>
    </row>
    <row r="9" spans="1:14">
      <c r="A9" s="60"/>
      <c r="B9" s="70" t="s">
        <v>117</v>
      </c>
      <c r="C9" s="52">
        <v>1077959.21</v>
      </c>
      <c r="D9" s="127"/>
      <c r="E9" s="52"/>
      <c r="F9" s="127"/>
      <c r="G9" s="127"/>
      <c r="H9" s="127"/>
      <c r="I9" s="128">
        <f t="shared" ref="I9:I16" si="0">C9+D9-E9+F9-G9</f>
        <v>1077959.21</v>
      </c>
      <c r="J9" s="133"/>
      <c r="K9" s="122">
        <f t="shared" ref="K9:K16" si="1">I9-J9+H9</f>
        <v>1077959.21</v>
      </c>
      <c r="L9" s="146">
        <f>J9/J18</f>
        <v>0</v>
      </c>
    </row>
    <row r="10" spans="1:14">
      <c r="A10" s="60" t="s">
        <v>27</v>
      </c>
      <c r="B10" s="54" t="s">
        <v>54</v>
      </c>
      <c r="C10" s="52">
        <f>12500+60000+1000</f>
        <v>73500</v>
      </c>
      <c r="D10" s="52"/>
      <c r="E10" s="52"/>
      <c r="F10" s="52"/>
      <c r="G10" s="52"/>
      <c r="H10" s="52"/>
      <c r="I10" s="52">
        <f t="shared" si="0"/>
        <v>73500</v>
      </c>
      <c r="J10" s="52">
        <v>31949</v>
      </c>
      <c r="K10" s="122">
        <v>0</v>
      </c>
      <c r="L10" s="146">
        <f>J10/J18</f>
        <v>2.673418183504515E-2</v>
      </c>
      <c r="N10" s="147"/>
    </row>
    <row r="11" spans="1:14">
      <c r="A11" s="148" t="s">
        <v>95</v>
      </c>
      <c r="B11" s="54" t="s">
        <v>96</v>
      </c>
      <c r="C11" s="52">
        <v>4000</v>
      </c>
      <c r="D11" s="52"/>
      <c r="E11" s="52"/>
      <c r="F11" s="52"/>
      <c r="G11" s="52"/>
      <c r="H11" s="52"/>
      <c r="I11" s="52">
        <f t="shared" si="0"/>
        <v>4000</v>
      </c>
      <c r="J11" s="52">
        <v>483.86</v>
      </c>
      <c r="K11" s="122">
        <v>0</v>
      </c>
      <c r="L11" s="146">
        <f>J11/J18</f>
        <v>4.0488282020423007E-4</v>
      </c>
      <c r="N11" s="147"/>
    </row>
    <row r="12" spans="1:14">
      <c r="A12" s="60" t="s">
        <v>97</v>
      </c>
      <c r="B12" s="54" t="s">
        <v>133</v>
      </c>
      <c r="C12" s="52">
        <v>3172620</v>
      </c>
      <c r="D12" s="52"/>
      <c r="E12" s="52"/>
      <c r="F12" s="52"/>
      <c r="G12" s="52"/>
      <c r="H12" s="52"/>
      <c r="I12" s="52">
        <f t="shared" si="0"/>
        <v>3172620</v>
      </c>
      <c r="J12" s="133">
        <v>196856.59</v>
      </c>
      <c r="K12" s="122">
        <f t="shared" si="1"/>
        <v>2975763.41</v>
      </c>
      <c r="L12" s="146">
        <f>J12/J18</f>
        <v>0.1647250265262428</v>
      </c>
      <c r="N12" s="149"/>
    </row>
    <row r="13" spans="1:14">
      <c r="A13" s="60" t="s">
        <v>97</v>
      </c>
      <c r="B13" s="54" t="s">
        <v>134</v>
      </c>
      <c r="C13" s="52">
        <v>1828000</v>
      </c>
      <c r="D13" s="52"/>
      <c r="E13" s="52"/>
      <c r="F13" s="52"/>
      <c r="G13" s="52"/>
      <c r="H13" s="52"/>
      <c r="I13" s="52">
        <f t="shared" si="0"/>
        <v>1828000</v>
      </c>
      <c r="J13" s="133">
        <v>965772.37</v>
      </c>
      <c r="K13" s="122">
        <f t="shared" si="1"/>
        <v>862227.63</v>
      </c>
      <c r="L13" s="146">
        <f>J13/J18</f>
        <v>0.80813590881850772</v>
      </c>
    </row>
    <row r="14" spans="1:14">
      <c r="A14" s="60" t="s">
        <v>97</v>
      </c>
      <c r="B14" s="54" t="s">
        <v>99</v>
      </c>
      <c r="C14" s="52">
        <v>20000</v>
      </c>
      <c r="D14" s="52"/>
      <c r="E14" s="52"/>
      <c r="F14" s="52"/>
      <c r="G14" s="52"/>
      <c r="H14" s="52"/>
      <c r="I14" s="52">
        <f>C14+D14-E14+F14-G14</f>
        <v>20000</v>
      </c>
      <c r="J14" s="52">
        <v>0</v>
      </c>
      <c r="K14" s="122">
        <f>I14-J14+H14</f>
        <v>20000</v>
      </c>
      <c r="L14" s="146">
        <v>0</v>
      </c>
    </row>
    <row r="15" spans="1:14">
      <c r="A15" s="60" t="s">
        <v>97</v>
      </c>
      <c r="B15" s="54" t="s">
        <v>144</v>
      </c>
      <c r="C15" s="52">
        <v>0</v>
      </c>
      <c r="D15" s="52"/>
      <c r="E15" s="52"/>
      <c r="F15" s="52"/>
      <c r="G15" s="52"/>
      <c r="H15" s="52"/>
      <c r="I15" s="52">
        <f t="shared" si="0"/>
        <v>0</v>
      </c>
      <c r="J15" s="52">
        <v>0</v>
      </c>
      <c r="K15" s="122">
        <f t="shared" si="1"/>
        <v>0</v>
      </c>
      <c r="L15" s="146">
        <v>0</v>
      </c>
    </row>
    <row r="16" spans="1:14">
      <c r="A16" s="60" t="s">
        <v>97</v>
      </c>
      <c r="B16" s="54" t="s">
        <v>98</v>
      </c>
      <c r="C16" s="52">
        <v>0</v>
      </c>
      <c r="D16" s="52"/>
      <c r="E16" s="52"/>
      <c r="F16" s="52"/>
      <c r="G16" s="52"/>
      <c r="H16" s="52"/>
      <c r="I16" s="52">
        <f t="shared" si="0"/>
        <v>0</v>
      </c>
      <c r="J16" s="52">
        <v>0</v>
      </c>
      <c r="K16" s="122">
        <f t="shared" si="1"/>
        <v>0</v>
      </c>
      <c r="L16" s="146">
        <v>0</v>
      </c>
    </row>
    <row r="17" spans="1:14" ht="18.75" thickBot="1">
      <c r="A17" s="150"/>
      <c r="B17" s="151"/>
      <c r="C17" s="128">
        <v>0</v>
      </c>
      <c r="D17" s="128"/>
      <c r="E17" s="128"/>
      <c r="F17" s="128"/>
      <c r="G17" s="128"/>
      <c r="H17" s="128"/>
      <c r="I17" s="128">
        <f>H17</f>
        <v>0</v>
      </c>
      <c r="J17" s="52">
        <v>0</v>
      </c>
      <c r="K17" s="123">
        <f>-J17+H17</f>
        <v>0</v>
      </c>
      <c r="L17" s="152">
        <f>J17/J18</f>
        <v>0</v>
      </c>
      <c r="N17" s="42"/>
    </row>
    <row r="18" spans="1:14" ht="18.75" customHeight="1" thickBot="1">
      <c r="A18" s="68"/>
      <c r="B18" s="67" t="s">
        <v>6</v>
      </c>
      <c r="C18" s="11">
        <f t="shared" ref="C18:K18" si="2">SUM(C9:C17)</f>
        <v>6176079.21</v>
      </c>
      <c r="D18" s="63">
        <f t="shared" si="2"/>
        <v>0</v>
      </c>
      <c r="E18" s="63">
        <f t="shared" si="2"/>
        <v>0</v>
      </c>
      <c r="F18" s="63">
        <f t="shared" si="2"/>
        <v>0</v>
      </c>
      <c r="G18" s="63">
        <f t="shared" si="2"/>
        <v>0</v>
      </c>
      <c r="H18" s="63">
        <f t="shared" si="2"/>
        <v>0</v>
      </c>
      <c r="I18" s="11">
        <f t="shared" si="2"/>
        <v>6176079.21</v>
      </c>
      <c r="J18" s="11">
        <f>SUM(J9:J17)</f>
        <v>1195061.82</v>
      </c>
      <c r="K18" s="11">
        <f t="shared" si="2"/>
        <v>4935950.25</v>
      </c>
      <c r="L18" s="12">
        <f>SUM(L17:L17)</f>
        <v>0</v>
      </c>
    </row>
    <row r="19" spans="1:14">
      <c r="A19" s="141" t="s">
        <v>5</v>
      </c>
      <c r="B19" s="142" t="s">
        <v>115</v>
      </c>
      <c r="C19" s="157"/>
      <c r="D19" s="157"/>
      <c r="E19" s="98"/>
      <c r="F19" s="98"/>
      <c r="G19" s="98"/>
      <c r="H19" s="98"/>
      <c r="I19" s="98"/>
      <c r="J19" s="99"/>
      <c r="K19" s="98"/>
      <c r="L19" s="98"/>
    </row>
    <row r="20" spans="1:14">
      <c r="A20" s="158">
        <v>0</v>
      </c>
      <c r="B20" s="59" t="s">
        <v>9</v>
      </c>
      <c r="C20" s="76"/>
      <c r="D20" s="100"/>
      <c r="E20" s="100"/>
      <c r="F20" s="100"/>
      <c r="G20" s="100"/>
      <c r="H20" s="100"/>
      <c r="I20" s="100"/>
      <c r="J20" s="100"/>
      <c r="K20" s="124"/>
      <c r="L20" s="132"/>
    </row>
    <row r="21" spans="1:14">
      <c r="A21" s="53" t="s">
        <v>14</v>
      </c>
      <c r="B21" s="54" t="s">
        <v>84</v>
      </c>
      <c r="C21" s="76">
        <v>574724</v>
      </c>
      <c r="D21" s="76"/>
      <c r="E21" s="76"/>
      <c r="F21" s="76"/>
      <c r="G21" s="76"/>
      <c r="H21" s="76"/>
      <c r="I21" s="52">
        <f t="shared" ref="I21:I99" si="3">C21+D21-E21+F21-G21</f>
        <v>574724</v>
      </c>
      <c r="J21" s="76">
        <v>121412.88999999998</v>
      </c>
      <c r="K21" s="122">
        <f t="shared" ref="K21:K84" si="4">I21-J21</f>
        <v>453311.11</v>
      </c>
      <c r="L21" s="132">
        <f t="shared" ref="L21:L32" si="5">J21/$J$108</f>
        <v>7.8401404421728785E-2</v>
      </c>
      <c r="N21" s="149"/>
    </row>
    <row r="22" spans="1:14">
      <c r="A22" s="53" t="s">
        <v>34</v>
      </c>
      <c r="B22" s="54" t="s">
        <v>35</v>
      </c>
      <c r="C22" s="76">
        <v>4500</v>
      </c>
      <c r="D22" s="76"/>
      <c r="E22" s="76"/>
      <c r="F22" s="76"/>
      <c r="G22" s="76"/>
      <c r="H22" s="76"/>
      <c r="I22" s="52">
        <f t="shared" si="3"/>
        <v>4500</v>
      </c>
      <c r="J22" s="76">
        <v>1125</v>
      </c>
      <c r="K22" s="122">
        <f t="shared" si="4"/>
        <v>3375</v>
      </c>
      <c r="L22" s="132">
        <f t="shared" si="5"/>
        <v>7.2645976859989829E-4</v>
      </c>
      <c r="N22" s="149"/>
    </row>
    <row r="23" spans="1:14">
      <c r="A23" s="53" t="s">
        <v>15</v>
      </c>
      <c r="B23" s="54" t="s">
        <v>43</v>
      </c>
      <c r="C23" s="76">
        <v>62500</v>
      </c>
      <c r="D23" s="76"/>
      <c r="E23" s="76"/>
      <c r="F23" s="76"/>
      <c r="G23" s="76"/>
      <c r="H23" s="76"/>
      <c r="I23" s="52">
        <f t="shared" si="3"/>
        <v>62500</v>
      </c>
      <c r="J23" s="76">
        <v>14250</v>
      </c>
      <c r="K23" s="122">
        <f t="shared" si="4"/>
        <v>48250</v>
      </c>
      <c r="L23" s="132">
        <f t="shared" si="5"/>
        <v>9.2018237355987118E-3</v>
      </c>
      <c r="N23" s="149"/>
    </row>
    <row r="24" spans="1:14">
      <c r="A24" s="53" t="s">
        <v>135</v>
      </c>
      <c r="B24" s="54" t="s">
        <v>136</v>
      </c>
      <c r="C24" s="76">
        <v>357550</v>
      </c>
      <c r="D24" s="76"/>
      <c r="E24" s="76"/>
      <c r="F24" s="76"/>
      <c r="G24" s="76"/>
      <c r="H24" s="76"/>
      <c r="I24" s="52">
        <f t="shared" si="3"/>
        <v>357550</v>
      </c>
      <c r="J24" s="76">
        <v>0</v>
      </c>
      <c r="K24" s="122">
        <f t="shared" si="4"/>
        <v>357550</v>
      </c>
      <c r="L24" s="132">
        <f t="shared" si="5"/>
        <v>0</v>
      </c>
      <c r="N24" s="149"/>
    </row>
    <row r="25" spans="1:14">
      <c r="A25" s="53" t="s">
        <v>137</v>
      </c>
      <c r="B25" s="54" t="s">
        <v>138</v>
      </c>
      <c r="C25" s="76">
        <v>5750</v>
      </c>
      <c r="D25" s="76"/>
      <c r="E25" s="76"/>
      <c r="F25" s="76"/>
      <c r="G25" s="76"/>
      <c r="H25" s="76"/>
      <c r="I25" s="52">
        <f t="shared" si="3"/>
        <v>5750</v>
      </c>
      <c r="J25" s="76">
        <v>0</v>
      </c>
      <c r="K25" s="122">
        <f t="shared" si="4"/>
        <v>5750</v>
      </c>
      <c r="L25" s="132">
        <f t="shared" si="5"/>
        <v>0</v>
      </c>
      <c r="N25" s="149"/>
    </row>
    <row r="26" spans="1:14">
      <c r="A26" s="53" t="s">
        <v>100</v>
      </c>
      <c r="B26" s="54" t="s">
        <v>101</v>
      </c>
      <c r="C26" s="76">
        <v>15400</v>
      </c>
      <c r="D26" s="76"/>
      <c r="E26" s="76"/>
      <c r="F26" s="76"/>
      <c r="G26" s="76"/>
      <c r="H26" s="76"/>
      <c r="I26" s="52">
        <f>C26+D26-E26+F26-G26</f>
        <v>15400</v>
      </c>
      <c r="J26" s="76">
        <v>0</v>
      </c>
      <c r="K26" s="122">
        <f t="shared" si="4"/>
        <v>15400</v>
      </c>
      <c r="L26" s="132">
        <f t="shared" si="5"/>
        <v>0</v>
      </c>
      <c r="N26" s="149"/>
    </row>
    <row r="27" spans="1:14">
      <c r="A27" s="53" t="s">
        <v>21</v>
      </c>
      <c r="B27" s="54" t="s">
        <v>22</v>
      </c>
      <c r="C27" s="76">
        <v>37627.240000000005</v>
      </c>
      <c r="D27" s="76"/>
      <c r="E27" s="76"/>
      <c r="F27" s="76"/>
      <c r="G27" s="76"/>
      <c r="H27" s="76"/>
      <c r="I27" s="52">
        <f t="shared" si="3"/>
        <v>37627.240000000005</v>
      </c>
      <c r="J27" s="76">
        <v>3746.9800000000005</v>
      </c>
      <c r="K27" s="122">
        <f t="shared" si="4"/>
        <v>33880.26</v>
      </c>
      <c r="L27" s="132">
        <f t="shared" si="5"/>
        <v>2.4195824211097308E-3</v>
      </c>
      <c r="N27" s="149"/>
    </row>
    <row r="28" spans="1:14">
      <c r="A28" s="53" t="s">
        <v>16</v>
      </c>
      <c r="B28" s="54" t="s">
        <v>125</v>
      </c>
      <c r="C28" s="76">
        <v>111250.887308</v>
      </c>
      <c r="D28" s="76"/>
      <c r="E28" s="76"/>
      <c r="F28" s="76"/>
      <c r="G28" s="76"/>
      <c r="H28" s="52"/>
      <c r="I28" s="52">
        <f t="shared" si="3"/>
        <v>111250.887308</v>
      </c>
      <c r="J28" s="76">
        <v>9097.58</v>
      </c>
      <c r="K28" s="122">
        <f t="shared" si="4"/>
        <v>102153.307308</v>
      </c>
      <c r="L28" s="132">
        <f t="shared" si="5"/>
        <v>5.8746896547724999E-3</v>
      </c>
      <c r="N28" s="149"/>
    </row>
    <row r="29" spans="1:14">
      <c r="A29" s="53" t="s">
        <v>17</v>
      </c>
      <c r="B29" s="54" t="s">
        <v>126</v>
      </c>
      <c r="C29" s="76">
        <v>10426.5124</v>
      </c>
      <c r="D29" s="76"/>
      <c r="E29" s="76"/>
      <c r="F29" s="76"/>
      <c r="G29" s="76"/>
      <c r="H29" s="76"/>
      <c r="I29" s="52">
        <f t="shared" si="3"/>
        <v>10426.5124</v>
      </c>
      <c r="J29" s="76">
        <v>852.64</v>
      </c>
      <c r="K29" s="122">
        <f t="shared" si="4"/>
        <v>9573.8724000000002</v>
      </c>
      <c r="L29" s="132">
        <f t="shared" si="5"/>
        <v>5.505854729769042E-4</v>
      </c>
      <c r="N29" s="149"/>
    </row>
    <row r="30" spans="1:14">
      <c r="A30" s="53" t="s">
        <v>18</v>
      </c>
      <c r="B30" s="55" t="s">
        <v>82</v>
      </c>
      <c r="C30" s="76">
        <v>78272.833333333328</v>
      </c>
      <c r="D30" s="76"/>
      <c r="E30" s="76"/>
      <c r="F30" s="76"/>
      <c r="G30" s="76"/>
      <c r="H30" s="76"/>
      <c r="I30" s="52">
        <f t="shared" si="3"/>
        <v>78272.833333333328</v>
      </c>
      <c r="J30" s="76">
        <v>0</v>
      </c>
      <c r="K30" s="122">
        <f t="shared" si="4"/>
        <v>78272.833333333328</v>
      </c>
      <c r="L30" s="132">
        <f t="shared" si="5"/>
        <v>0</v>
      </c>
      <c r="N30" s="149"/>
    </row>
    <row r="31" spans="1:14">
      <c r="A31" s="53" t="s">
        <v>19</v>
      </c>
      <c r="B31" s="54" t="s">
        <v>85</v>
      </c>
      <c r="C31" s="76">
        <v>78272.833333333328</v>
      </c>
      <c r="D31" s="76"/>
      <c r="E31" s="76"/>
      <c r="F31" s="76"/>
      <c r="G31" s="76"/>
      <c r="H31" s="76"/>
      <c r="I31" s="52">
        <f t="shared" si="3"/>
        <v>78272.833333333328</v>
      </c>
      <c r="J31" s="76">
        <v>0</v>
      </c>
      <c r="K31" s="122">
        <f t="shared" si="4"/>
        <v>78272.833333333328</v>
      </c>
      <c r="L31" s="132">
        <f t="shared" si="5"/>
        <v>0</v>
      </c>
      <c r="N31" s="149"/>
    </row>
    <row r="32" spans="1:14">
      <c r="A32" s="53" t="s">
        <v>20</v>
      </c>
      <c r="B32" s="54" t="s">
        <v>83</v>
      </c>
      <c r="C32" s="76">
        <v>4800</v>
      </c>
      <c r="D32" s="76"/>
      <c r="E32" s="76"/>
      <c r="F32" s="76"/>
      <c r="G32" s="76"/>
      <c r="H32" s="76"/>
      <c r="I32" s="52">
        <f t="shared" si="3"/>
        <v>4800</v>
      </c>
      <c r="J32" s="76">
        <v>0</v>
      </c>
      <c r="K32" s="122">
        <f t="shared" si="4"/>
        <v>4800</v>
      </c>
      <c r="L32" s="132">
        <f t="shared" si="5"/>
        <v>0</v>
      </c>
      <c r="N32" s="149"/>
    </row>
    <row r="33" spans="1:14">
      <c r="A33" s="59">
        <v>1</v>
      </c>
      <c r="B33" s="59" t="s">
        <v>10</v>
      </c>
      <c r="C33" s="76"/>
      <c r="D33" s="76"/>
      <c r="E33" s="76"/>
      <c r="F33" s="76"/>
      <c r="G33" s="76"/>
      <c r="H33" s="76"/>
      <c r="I33" s="52"/>
      <c r="J33" s="105"/>
      <c r="K33" s="122"/>
      <c r="L33" s="132"/>
      <c r="N33" s="149"/>
    </row>
    <row r="34" spans="1:14">
      <c r="A34" s="60">
        <v>111</v>
      </c>
      <c r="B34" s="54" t="s">
        <v>44</v>
      </c>
      <c r="C34" s="76">
        <v>13125</v>
      </c>
      <c r="D34" s="76"/>
      <c r="E34" s="76"/>
      <c r="F34" s="76"/>
      <c r="G34" s="76"/>
      <c r="H34" s="76"/>
      <c r="I34" s="52">
        <f t="shared" si="3"/>
        <v>13125</v>
      </c>
      <c r="J34" s="76">
        <v>1737.28</v>
      </c>
      <c r="K34" s="122">
        <f t="shared" si="4"/>
        <v>11387.72</v>
      </c>
      <c r="L34" s="132">
        <f t="shared" ref="L34:L93" si="6">J34/$J$108</f>
        <v>1.1218346904828722E-3</v>
      </c>
      <c r="N34" s="149"/>
    </row>
    <row r="35" spans="1:14">
      <c r="A35" s="60">
        <v>113</v>
      </c>
      <c r="B35" s="54" t="s">
        <v>53</v>
      </c>
      <c r="C35" s="76">
        <v>24780</v>
      </c>
      <c r="D35" s="76"/>
      <c r="E35" s="76"/>
      <c r="F35" s="76"/>
      <c r="G35" s="76"/>
      <c r="H35" s="76"/>
      <c r="I35" s="52">
        <f t="shared" si="3"/>
        <v>24780</v>
      </c>
      <c r="J35" s="76">
        <v>4926</v>
      </c>
      <c r="K35" s="122">
        <f t="shared" si="4"/>
        <v>19854</v>
      </c>
      <c r="L35" s="132">
        <f t="shared" si="6"/>
        <v>3.1809251734427543E-3</v>
      </c>
      <c r="N35" s="149"/>
    </row>
    <row r="36" spans="1:14">
      <c r="A36" s="60">
        <v>114</v>
      </c>
      <c r="B36" s="54" t="s">
        <v>124</v>
      </c>
      <c r="C36" s="76">
        <v>5000</v>
      </c>
      <c r="D36" s="76"/>
      <c r="E36" s="76"/>
      <c r="F36" s="76"/>
      <c r="G36" s="76"/>
      <c r="H36" s="76"/>
      <c r="I36" s="52">
        <f t="shared" si="3"/>
        <v>5000</v>
      </c>
      <c r="J36" s="76">
        <v>20</v>
      </c>
      <c r="K36" s="122">
        <f t="shared" si="4"/>
        <v>4980</v>
      </c>
      <c r="L36" s="132">
        <f t="shared" si="6"/>
        <v>1.2914840330664857E-5</v>
      </c>
      <c r="N36" s="149"/>
    </row>
    <row r="37" spans="1:14">
      <c r="A37" s="60">
        <v>121</v>
      </c>
      <c r="B37" s="54" t="s">
        <v>55</v>
      </c>
      <c r="C37" s="76">
        <v>20000</v>
      </c>
      <c r="D37" s="76"/>
      <c r="E37" s="76"/>
      <c r="F37" s="76"/>
      <c r="G37" s="76"/>
      <c r="H37" s="76"/>
      <c r="I37" s="52">
        <f t="shared" si="3"/>
        <v>20000</v>
      </c>
      <c r="J37" s="76">
        <v>21989</v>
      </c>
      <c r="K37" s="200">
        <f t="shared" si="4"/>
        <v>-1989</v>
      </c>
      <c r="L37" s="132">
        <f t="shared" si="6"/>
        <v>1.4199221201549478E-2</v>
      </c>
      <c r="N37" s="149"/>
    </row>
    <row r="38" spans="1:14">
      <c r="A38" s="60">
        <v>122</v>
      </c>
      <c r="B38" s="54" t="s">
        <v>86</v>
      </c>
      <c r="C38" s="76">
        <v>17950</v>
      </c>
      <c r="D38" s="76"/>
      <c r="E38" s="76"/>
      <c r="F38" s="76"/>
      <c r="G38" s="76"/>
      <c r="H38" s="76"/>
      <c r="I38" s="52">
        <f t="shared" si="3"/>
        <v>17950</v>
      </c>
      <c r="J38" s="76">
        <v>1964.25</v>
      </c>
      <c r="K38" s="122">
        <f t="shared" si="4"/>
        <v>15985.75</v>
      </c>
      <c r="L38" s="132">
        <f t="shared" si="6"/>
        <v>1.2683987559754222E-3</v>
      </c>
      <c r="M38" s="159"/>
      <c r="N38" s="149"/>
    </row>
    <row r="39" spans="1:14">
      <c r="A39" s="60">
        <v>131</v>
      </c>
      <c r="B39" s="54" t="s">
        <v>56</v>
      </c>
      <c r="C39" s="76">
        <v>1102000</v>
      </c>
      <c r="D39" s="76"/>
      <c r="E39" s="76"/>
      <c r="F39" s="76"/>
      <c r="G39" s="76"/>
      <c r="H39" s="76"/>
      <c r="I39" s="52">
        <f t="shared" si="3"/>
        <v>1102000</v>
      </c>
      <c r="J39" s="76">
        <v>900985.23</v>
      </c>
      <c r="K39" s="122">
        <f t="shared" si="4"/>
        <v>201014.77000000002</v>
      </c>
      <c r="L39" s="132">
        <f t="shared" si="6"/>
        <v>0.58180401928686765</v>
      </c>
      <c r="N39" s="149"/>
    </row>
    <row r="40" spans="1:14">
      <c r="A40" s="60">
        <v>133</v>
      </c>
      <c r="B40" s="54" t="s">
        <v>57</v>
      </c>
      <c r="C40" s="76">
        <v>4546.67</v>
      </c>
      <c r="D40" s="76"/>
      <c r="E40" s="76"/>
      <c r="F40" s="76"/>
      <c r="G40" s="76"/>
      <c r="H40" s="76"/>
      <c r="I40" s="52">
        <f t="shared" si="3"/>
        <v>4546.67</v>
      </c>
      <c r="J40" s="76">
        <v>0</v>
      </c>
      <c r="K40" s="122">
        <f t="shared" si="4"/>
        <v>4546.67</v>
      </c>
      <c r="L40" s="132">
        <f t="shared" si="6"/>
        <v>0</v>
      </c>
      <c r="N40" s="149"/>
    </row>
    <row r="41" spans="1:14">
      <c r="A41" s="60">
        <v>134</v>
      </c>
      <c r="B41" s="54" t="s">
        <v>87</v>
      </c>
      <c r="C41" s="76">
        <v>0</v>
      </c>
      <c r="D41" s="76"/>
      <c r="E41" s="76"/>
      <c r="F41" s="76"/>
      <c r="G41" s="76"/>
      <c r="H41" s="76"/>
      <c r="I41" s="52">
        <f t="shared" si="3"/>
        <v>0</v>
      </c>
      <c r="J41" s="76">
        <v>0</v>
      </c>
      <c r="K41" s="122">
        <f t="shared" si="4"/>
        <v>0</v>
      </c>
      <c r="L41" s="132">
        <f t="shared" si="6"/>
        <v>0</v>
      </c>
      <c r="N41" s="149"/>
    </row>
    <row r="42" spans="1:14">
      <c r="A42" s="60">
        <v>135</v>
      </c>
      <c r="B42" s="54" t="s">
        <v>102</v>
      </c>
      <c r="C42" s="76">
        <v>124000</v>
      </c>
      <c r="D42" s="76"/>
      <c r="E42" s="76"/>
      <c r="F42" s="76"/>
      <c r="G42" s="76"/>
      <c r="H42" s="76"/>
      <c r="I42" s="52">
        <f>C42+D42-E42+F42-G42</f>
        <v>124000</v>
      </c>
      <c r="J42" s="76">
        <v>81832.69</v>
      </c>
      <c r="K42" s="122">
        <f t="shared" si="4"/>
        <v>42167.31</v>
      </c>
      <c r="L42" s="132">
        <f t="shared" si="6"/>
        <v>5.2842806258939744E-2</v>
      </c>
      <c r="N42" s="149"/>
    </row>
    <row r="43" spans="1:14">
      <c r="A43" s="60">
        <v>141</v>
      </c>
      <c r="B43" s="54" t="s">
        <v>76</v>
      </c>
      <c r="C43" s="76">
        <v>374045.69</v>
      </c>
      <c r="D43" s="76"/>
      <c r="E43" s="76"/>
      <c r="F43" s="76"/>
      <c r="G43" s="76"/>
      <c r="H43" s="76"/>
      <c r="I43" s="52">
        <f t="shared" si="3"/>
        <v>374045.69</v>
      </c>
      <c r="J43" s="76">
        <v>170618.06</v>
      </c>
      <c r="K43" s="122">
        <f t="shared" si="4"/>
        <v>203427.63</v>
      </c>
      <c r="L43" s="132">
        <f t="shared" si="6"/>
        <v>0.11017525012138982</v>
      </c>
      <c r="N43" s="149"/>
    </row>
    <row r="44" spans="1:14">
      <c r="A44" s="60">
        <v>142</v>
      </c>
      <c r="B44" s="54" t="s">
        <v>23</v>
      </c>
      <c r="C44" s="76">
        <v>32600</v>
      </c>
      <c r="D44" s="76"/>
      <c r="E44" s="76"/>
      <c r="F44" s="76"/>
      <c r="G44" s="76"/>
      <c r="H44" s="76"/>
      <c r="I44" s="52">
        <f t="shared" si="3"/>
        <v>32600</v>
      </c>
      <c r="J44" s="76">
        <v>0</v>
      </c>
      <c r="K44" s="122">
        <f t="shared" si="4"/>
        <v>32600</v>
      </c>
      <c r="L44" s="132">
        <f t="shared" si="6"/>
        <v>0</v>
      </c>
      <c r="N44" s="149"/>
    </row>
    <row r="45" spans="1:14">
      <c r="A45" s="60">
        <v>143</v>
      </c>
      <c r="B45" s="54" t="s">
        <v>127</v>
      </c>
      <c r="C45" s="76">
        <v>37071.31</v>
      </c>
      <c r="D45" s="76"/>
      <c r="E45" s="76"/>
      <c r="F45" s="76"/>
      <c r="G45" s="76"/>
      <c r="H45" s="76"/>
      <c r="I45" s="52">
        <f t="shared" si="3"/>
        <v>37071.31</v>
      </c>
      <c r="J45" s="76">
        <v>0</v>
      </c>
      <c r="K45" s="122">
        <f t="shared" si="4"/>
        <v>37071.31</v>
      </c>
      <c r="L45" s="132">
        <f t="shared" si="6"/>
        <v>0</v>
      </c>
      <c r="N45" s="149"/>
    </row>
    <row r="46" spans="1:14">
      <c r="A46" s="60">
        <v>151</v>
      </c>
      <c r="B46" s="54" t="s">
        <v>139</v>
      </c>
      <c r="C46" s="76">
        <v>70560</v>
      </c>
      <c r="D46" s="76"/>
      <c r="E46" s="76"/>
      <c r="F46" s="76"/>
      <c r="G46" s="76"/>
      <c r="H46" s="76"/>
      <c r="I46" s="52">
        <f t="shared" si="3"/>
        <v>70560</v>
      </c>
      <c r="J46" s="76">
        <v>17377.5</v>
      </c>
      <c r="K46" s="122">
        <f t="shared" si="4"/>
        <v>53182.5</v>
      </c>
      <c r="L46" s="132">
        <f t="shared" si="6"/>
        <v>1.1221381892306427E-2</v>
      </c>
      <c r="N46" s="149"/>
    </row>
    <row r="47" spans="1:14">
      <c r="A47" s="60">
        <v>155</v>
      </c>
      <c r="B47" s="54" t="s">
        <v>36</v>
      </c>
      <c r="C47" s="76">
        <v>0</v>
      </c>
      <c r="D47" s="76"/>
      <c r="E47" s="76"/>
      <c r="F47" s="76"/>
      <c r="G47" s="76"/>
      <c r="H47" s="76"/>
      <c r="I47" s="52">
        <f t="shared" si="3"/>
        <v>0</v>
      </c>
      <c r="J47" s="76">
        <v>0</v>
      </c>
      <c r="K47" s="122">
        <f t="shared" si="4"/>
        <v>0</v>
      </c>
      <c r="L47" s="132">
        <f t="shared" si="6"/>
        <v>0</v>
      </c>
      <c r="N47" s="149"/>
    </row>
    <row r="48" spans="1:14">
      <c r="A48" s="60">
        <v>158</v>
      </c>
      <c r="B48" s="54" t="s">
        <v>103</v>
      </c>
      <c r="C48" s="76">
        <v>4000</v>
      </c>
      <c r="D48" s="76"/>
      <c r="E48" s="76"/>
      <c r="F48" s="76"/>
      <c r="G48" s="76"/>
      <c r="H48" s="76"/>
      <c r="I48" s="52">
        <f>C48+D48-E48+F48-G48</f>
        <v>4000</v>
      </c>
      <c r="J48" s="76">
        <v>1110</v>
      </c>
      <c r="K48" s="122">
        <f t="shared" si="4"/>
        <v>2890</v>
      </c>
      <c r="L48" s="132">
        <f t="shared" si="6"/>
        <v>7.1677363835189964E-4</v>
      </c>
      <c r="N48" s="149"/>
    </row>
    <row r="49" spans="1:14">
      <c r="A49" s="60">
        <v>162</v>
      </c>
      <c r="B49" s="54" t="s">
        <v>58</v>
      </c>
      <c r="C49" s="76">
        <v>1350</v>
      </c>
      <c r="D49" s="76"/>
      <c r="E49" s="76"/>
      <c r="F49" s="76"/>
      <c r="G49" s="76"/>
      <c r="H49" s="76"/>
      <c r="I49" s="52">
        <f t="shared" si="3"/>
        <v>1350</v>
      </c>
      <c r="J49" s="76">
        <v>0</v>
      </c>
      <c r="K49" s="122">
        <f t="shared" si="4"/>
        <v>1350</v>
      </c>
      <c r="L49" s="132">
        <f t="shared" si="6"/>
        <v>0</v>
      </c>
      <c r="N49" s="149"/>
    </row>
    <row r="50" spans="1:14">
      <c r="A50" s="60">
        <v>164</v>
      </c>
      <c r="B50" s="54" t="s">
        <v>45</v>
      </c>
      <c r="C50" s="76">
        <v>12500</v>
      </c>
      <c r="D50" s="76"/>
      <c r="E50" s="76"/>
      <c r="F50" s="76"/>
      <c r="G50" s="76"/>
      <c r="H50" s="76"/>
      <c r="I50" s="52">
        <f t="shared" si="3"/>
        <v>12500</v>
      </c>
      <c r="J50" s="76">
        <v>5250</v>
      </c>
      <c r="K50" s="122">
        <f t="shared" si="4"/>
        <v>7250</v>
      </c>
      <c r="L50" s="132">
        <f t="shared" si="6"/>
        <v>3.390145586799525E-3</v>
      </c>
      <c r="N50" s="149"/>
    </row>
    <row r="51" spans="1:14">
      <c r="A51" s="60">
        <v>165</v>
      </c>
      <c r="B51" s="54" t="s">
        <v>104</v>
      </c>
      <c r="C51" s="76">
        <v>6900</v>
      </c>
      <c r="D51" s="76"/>
      <c r="E51" s="76"/>
      <c r="F51" s="76"/>
      <c r="G51" s="76"/>
      <c r="H51" s="76"/>
      <c r="I51" s="52">
        <f>C51+D51-E51+F51-G51</f>
        <v>6900</v>
      </c>
      <c r="J51" s="76">
        <v>612.44000000000005</v>
      </c>
      <c r="K51" s="122">
        <f t="shared" si="4"/>
        <v>6287.5599999999995</v>
      </c>
      <c r="L51" s="132">
        <f t="shared" si="6"/>
        <v>3.954782406056193E-4</v>
      </c>
      <c r="N51" s="149"/>
    </row>
    <row r="52" spans="1:14">
      <c r="A52" s="60">
        <v>168</v>
      </c>
      <c r="B52" s="54" t="s">
        <v>59</v>
      </c>
      <c r="C52" s="76">
        <v>5500</v>
      </c>
      <c r="D52" s="76"/>
      <c r="E52" s="76"/>
      <c r="F52" s="76"/>
      <c r="G52" s="76"/>
      <c r="H52" s="76"/>
      <c r="I52" s="52">
        <f t="shared" si="3"/>
        <v>5500</v>
      </c>
      <c r="J52" s="76">
        <v>1240</v>
      </c>
      <c r="K52" s="122">
        <f t="shared" si="4"/>
        <v>4260</v>
      </c>
      <c r="L52" s="132">
        <f t="shared" si="6"/>
        <v>8.0072010050122116E-4</v>
      </c>
      <c r="N52" s="149"/>
    </row>
    <row r="53" spans="1:14">
      <c r="A53" s="60">
        <v>174</v>
      </c>
      <c r="B53" s="54" t="s">
        <v>46</v>
      </c>
      <c r="C53" s="76">
        <v>5000</v>
      </c>
      <c r="D53" s="76"/>
      <c r="E53" s="76"/>
      <c r="F53" s="76"/>
      <c r="G53" s="76"/>
      <c r="H53" s="76"/>
      <c r="I53" s="52">
        <f t="shared" si="3"/>
        <v>5000</v>
      </c>
      <c r="J53" s="76">
        <v>140</v>
      </c>
      <c r="K53" s="122">
        <f t="shared" si="4"/>
        <v>4860</v>
      </c>
      <c r="L53" s="132">
        <f t="shared" si="6"/>
        <v>9.0403882314654005E-5</v>
      </c>
      <c r="N53" s="149"/>
    </row>
    <row r="54" spans="1:14">
      <c r="A54" s="60">
        <v>182</v>
      </c>
      <c r="B54" s="54" t="s">
        <v>61</v>
      </c>
      <c r="C54" s="76">
        <v>0</v>
      </c>
      <c r="D54" s="76"/>
      <c r="E54" s="76"/>
      <c r="F54" s="76"/>
      <c r="G54" s="76"/>
      <c r="H54" s="76"/>
      <c r="I54" s="52">
        <f t="shared" si="3"/>
        <v>0</v>
      </c>
      <c r="J54" s="76">
        <v>0</v>
      </c>
      <c r="K54" s="122">
        <f t="shared" si="4"/>
        <v>0</v>
      </c>
      <c r="L54" s="132">
        <f t="shared" si="6"/>
        <v>0</v>
      </c>
      <c r="N54" s="149"/>
    </row>
    <row r="55" spans="1:14">
      <c r="A55" s="60">
        <v>183</v>
      </c>
      <c r="B55" s="54" t="s">
        <v>105</v>
      </c>
      <c r="C55" s="76">
        <v>160000</v>
      </c>
      <c r="D55" s="76"/>
      <c r="E55" s="76"/>
      <c r="F55" s="76"/>
      <c r="G55" s="76"/>
      <c r="H55" s="76"/>
      <c r="I55" s="52">
        <f>C55+D55-E55+F55-G55</f>
        <v>160000</v>
      </c>
      <c r="J55" s="76">
        <v>20655</v>
      </c>
      <c r="K55" s="122">
        <f t="shared" si="4"/>
        <v>139345</v>
      </c>
      <c r="L55" s="132">
        <f t="shared" si="6"/>
        <v>1.3337801351494132E-2</v>
      </c>
      <c r="N55" s="149"/>
    </row>
    <row r="56" spans="1:14">
      <c r="A56" s="60">
        <v>184</v>
      </c>
      <c r="B56" s="54" t="s">
        <v>106</v>
      </c>
      <c r="C56" s="76">
        <v>42000</v>
      </c>
      <c r="D56" s="76"/>
      <c r="E56" s="76"/>
      <c r="F56" s="76"/>
      <c r="G56" s="76"/>
      <c r="H56" s="76"/>
      <c r="I56" s="52">
        <f t="shared" si="3"/>
        <v>42000</v>
      </c>
      <c r="J56" s="76">
        <v>8866.07</v>
      </c>
      <c r="K56" s="122">
        <f t="shared" si="4"/>
        <v>33133.93</v>
      </c>
      <c r="L56" s="132">
        <f t="shared" si="6"/>
        <v>5.7251939205248889E-3</v>
      </c>
      <c r="N56" s="149"/>
    </row>
    <row r="57" spans="1:14">
      <c r="A57" s="60">
        <v>185</v>
      </c>
      <c r="B57" s="54" t="s">
        <v>107</v>
      </c>
      <c r="C57" s="76">
        <v>69000</v>
      </c>
      <c r="D57" s="76"/>
      <c r="E57" s="76"/>
      <c r="F57" s="76"/>
      <c r="G57" s="76"/>
      <c r="H57" s="76"/>
      <c r="I57" s="52">
        <f>C57+D57-E57+F57-G57</f>
        <v>69000</v>
      </c>
      <c r="J57" s="76">
        <v>0</v>
      </c>
      <c r="K57" s="122">
        <f t="shared" si="4"/>
        <v>69000</v>
      </c>
      <c r="L57" s="132">
        <f t="shared" si="6"/>
        <v>0</v>
      </c>
      <c r="N57" s="149"/>
    </row>
    <row r="58" spans="1:14">
      <c r="A58" s="60">
        <v>186</v>
      </c>
      <c r="B58" s="54" t="s">
        <v>47</v>
      </c>
      <c r="C58" s="76">
        <v>2000</v>
      </c>
      <c r="D58" s="76"/>
      <c r="E58" s="76"/>
      <c r="F58" s="76"/>
      <c r="G58" s="76"/>
      <c r="H58" s="76"/>
      <c r="I58" s="52">
        <f t="shared" si="3"/>
        <v>2000</v>
      </c>
      <c r="J58" s="76">
        <v>585</v>
      </c>
      <c r="K58" s="122">
        <f t="shared" si="4"/>
        <v>1415</v>
      </c>
      <c r="L58" s="132">
        <f t="shared" si="6"/>
        <v>3.7775907967194707E-4</v>
      </c>
      <c r="N58" s="149"/>
    </row>
    <row r="59" spans="1:14">
      <c r="A59" s="60">
        <v>187</v>
      </c>
      <c r="B59" s="54" t="s">
        <v>108</v>
      </c>
      <c r="C59" s="76">
        <v>51600</v>
      </c>
      <c r="D59" s="76"/>
      <c r="E59" s="76"/>
      <c r="F59" s="76"/>
      <c r="G59" s="76"/>
      <c r="H59" s="76"/>
      <c r="I59" s="52">
        <f>C59+D59-E59+F59-G59</f>
        <v>51600</v>
      </c>
      <c r="J59" s="76">
        <v>1600</v>
      </c>
      <c r="K59" s="122">
        <f t="shared" si="4"/>
        <v>50000</v>
      </c>
      <c r="L59" s="132">
        <f t="shared" si="6"/>
        <v>1.0331872264531885E-3</v>
      </c>
      <c r="N59" s="149"/>
    </row>
    <row r="60" spans="1:14">
      <c r="A60" s="60">
        <v>188</v>
      </c>
      <c r="B60" s="54" t="s">
        <v>109</v>
      </c>
      <c r="C60" s="76">
        <v>0</v>
      </c>
      <c r="D60" s="76"/>
      <c r="E60" s="76"/>
      <c r="F60" s="76"/>
      <c r="G60" s="76"/>
      <c r="H60" s="76"/>
      <c r="I60" s="52">
        <f t="shared" si="3"/>
        <v>0</v>
      </c>
      <c r="J60" s="76">
        <v>0</v>
      </c>
      <c r="K60" s="122">
        <f t="shared" si="4"/>
        <v>0</v>
      </c>
      <c r="L60" s="132">
        <f t="shared" si="6"/>
        <v>0</v>
      </c>
      <c r="N60" s="149"/>
    </row>
    <row r="61" spans="1:14">
      <c r="A61" s="60">
        <v>189</v>
      </c>
      <c r="B61" s="54" t="s">
        <v>110</v>
      </c>
      <c r="C61" s="76">
        <v>0</v>
      </c>
      <c r="D61" s="76"/>
      <c r="E61" s="76"/>
      <c r="F61" s="76"/>
      <c r="G61" s="76"/>
      <c r="H61" s="76"/>
      <c r="I61" s="52">
        <f>C61+D61-E61+F61-G61</f>
        <v>0</v>
      </c>
      <c r="J61" s="76">
        <v>0</v>
      </c>
      <c r="K61" s="122">
        <f t="shared" si="4"/>
        <v>0</v>
      </c>
      <c r="L61" s="132">
        <f t="shared" si="6"/>
        <v>0</v>
      </c>
      <c r="N61" s="149"/>
    </row>
    <row r="62" spans="1:14">
      <c r="A62" s="60">
        <v>191</v>
      </c>
      <c r="B62" s="54" t="s">
        <v>111</v>
      </c>
      <c r="C62" s="76">
        <v>9000</v>
      </c>
      <c r="D62" s="76"/>
      <c r="E62" s="76"/>
      <c r="F62" s="76"/>
      <c r="G62" s="76"/>
      <c r="H62" s="76"/>
      <c r="I62" s="52">
        <f t="shared" si="3"/>
        <v>9000</v>
      </c>
      <c r="J62" s="76">
        <v>0</v>
      </c>
      <c r="K62" s="122">
        <f t="shared" si="4"/>
        <v>9000</v>
      </c>
      <c r="L62" s="132">
        <f t="shared" si="6"/>
        <v>0</v>
      </c>
      <c r="N62" s="149"/>
    </row>
    <row r="63" spans="1:14">
      <c r="A63" s="60">
        <v>194</v>
      </c>
      <c r="B63" s="54" t="s">
        <v>112</v>
      </c>
      <c r="C63" s="76">
        <v>1080</v>
      </c>
      <c r="D63" s="76"/>
      <c r="E63" s="76"/>
      <c r="F63" s="76"/>
      <c r="G63" s="76"/>
      <c r="H63" s="76"/>
      <c r="I63" s="52">
        <f>C63+D63-E63+F63-G63</f>
        <v>1080</v>
      </c>
      <c r="J63" s="76">
        <v>459.82</v>
      </c>
      <c r="K63" s="122">
        <f t="shared" si="4"/>
        <v>620.18000000000006</v>
      </c>
      <c r="L63" s="132">
        <f t="shared" si="6"/>
        <v>2.9692509404231573E-4</v>
      </c>
      <c r="N63" s="149"/>
    </row>
    <row r="64" spans="1:14">
      <c r="A64" s="60">
        <v>195</v>
      </c>
      <c r="B64" s="54" t="s">
        <v>37</v>
      </c>
      <c r="C64" s="76">
        <v>10000</v>
      </c>
      <c r="D64" s="76"/>
      <c r="E64" s="76"/>
      <c r="F64" s="76"/>
      <c r="G64" s="76"/>
      <c r="H64" s="76"/>
      <c r="I64" s="52">
        <f t="shared" si="3"/>
        <v>10000</v>
      </c>
      <c r="J64" s="76">
        <v>628.95000000000005</v>
      </c>
      <c r="K64" s="122">
        <f t="shared" si="4"/>
        <v>9371.0499999999993</v>
      </c>
      <c r="L64" s="132">
        <f t="shared" si="6"/>
        <v>4.0613944129858315E-4</v>
      </c>
      <c r="N64" s="149"/>
    </row>
    <row r="65" spans="1:14">
      <c r="A65" s="60">
        <v>196</v>
      </c>
      <c r="B65" s="54" t="s">
        <v>113</v>
      </c>
      <c r="C65" s="76">
        <v>31300</v>
      </c>
      <c r="D65" s="76"/>
      <c r="E65" s="76"/>
      <c r="F65" s="76"/>
      <c r="G65" s="76"/>
      <c r="H65" s="76"/>
      <c r="I65" s="52">
        <f>C65+D65-E65+F65-G65</f>
        <v>31300</v>
      </c>
      <c r="J65" s="76">
        <v>0</v>
      </c>
      <c r="K65" s="122">
        <f t="shared" si="4"/>
        <v>31300</v>
      </c>
      <c r="L65" s="132">
        <f t="shared" si="6"/>
        <v>0</v>
      </c>
      <c r="N65" s="149"/>
    </row>
    <row r="66" spans="1:14">
      <c r="A66" s="60">
        <v>199</v>
      </c>
      <c r="B66" s="54" t="s">
        <v>60</v>
      </c>
      <c r="C66" s="76">
        <v>26043.75</v>
      </c>
      <c r="D66" s="76"/>
      <c r="E66" s="76"/>
      <c r="F66" s="76"/>
      <c r="G66" s="76"/>
      <c r="H66" s="76"/>
      <c r="I66" s="52">
        <f t="shared" si="3"/>
        <v>26043.75</v>
      </c>
      <c r="J66" s="76">
        <v>1615</v>
      </c>
      <c r="K66" s="122">
        <f t="shared" si="4"/>
        <v>24428.75</v>
      </c>
      <c r="L66" s="132">
        <f t="shared" si="6"/>
        <v>1.0428733567011872E-3</v>
      </c>
      <c r="N66" s="149"/>
    </row>
    <row r="67" spans="1:14">
      <c r="A67" s="59">
        <v>2</v>
      </c>
      <c r="B67" s="59" t="s">
        <v>11</v>
      </c>
      <c r="C67" s="76"/>
      <c r="D67" s="76"/>
      <c r="E67" s="76"/>
      <c r="F67" s="76"/>
      <c r="G67" s="76"/>
      <c r="H67" s="76"/>
      <c r="I67" s="52"/>
      <c r="J67" s="105"/>
      <c r="K67" s="122"/>
      <c r="L67" s="132">
        <f t="shared" si="6"/>
        <v>0</v>
      </c>
      <c r="N67" s="149"/>
    </row>
    <row r="68" spans="1:14">
      <c r="A68" s="60">
        <v>211</v>
      </c>
      <c r="B68" s="54" t="s">
        <v>24</v>
      </c>
      <c r="C68" s="76">
        <v>66744.479999999996</v>
      </c>
      <c r="D68" s="76"/>
      <c r="E68" s="76"/>
      <c r="F68" s="76"/>
      <c r="G68" s="76"/>
      <c r="H68" s="76"/>
      <c r="I68" s="52">
        <f t="shared" si="3"/>
        <v>66744.479999999996</v>
      </c>
      <c r="J68" s="76">
        <v>15903.65</v>
      </c>
      <c r="K68" s="122">
        <f t="shared" si="4"/>
        <v>50840.829999999994</v>
      </c>
      <c r="L68" s="132">
        <f t="shared" si="6"/>
        <v>1.0269655021238907E-2</v>
      </c>
      <c r="N68" s="149"/>
    </row>
    <row r="69" spans="1:14">
      <c r="A69" s="60">
        <v>219</v>
      </c>
      <c r="B69" s="54" t="s">
        <v>25</v>
      </c>
      <c r="C69" s="76">
        <v>0</v>
      </c>
      <c r="D69" s="76"/>
      <c r="E69" s="76"/>
      <c r="F69" s="76"/>
      <c r="G69" s="76"/>
      <c r="H69" s="76"/>
      <c r="I69" s="52">
        <f t="shared" si="3"/>
        <v>0</v>
      </c>
      <c r="J69" s="76">
        <v>0</v>
      </c>
      <c r="K69" s="122">
        <f t="shared" si="4"/>
        <v>0</v>
      </c>
      <c r="L69" s="132">
        <f t="shared" si="6"/>
        <v>0</v>
      </c>
      <c r="N69" s="149"/>
    </row>
    <row r="70" spans="1:14">
      <c r="A70" s="60">
        <v>232</v>
      </c>
      <c r="B70" s="54" t="s">
        <v>62</v>
      </c>
      <c r="C70" s="76">
        <v>1140</v>
      </c>
      <c r="D70" s="76"/>
      <c r="E70" s="76"/>
      <c r="F70" s="76"/>
      <c r="G70" s="76"/>
      <c r="H70" s="76"/>
      <c r="I70" s="52">
        <f t="shared" si="3"/>
        <v>1140</v>
      </c>
      <c r="J70" s="76">
        <v>140</v>
      </c>
      <c r="K70" s="122">
        <f t="shared" si="4"/>
        <v>1000</v>
      </c>
      <c r="L70" s="132">
        <f t="shared" si="6"/>
        <v>9.0403882314654005E-5</v>
      </c>
      <c r="N70" s="149"/>
    </row>
    <row r="71" spans="1:14">
      <c r="A71" s="60">
        <v>233</v>
      </c>
      <c r="B71" s="54" t="s">
        <v>75</v>
      </c>
      <c r="C71" s="76">
        <v>58000</v>
      </c>
      <c r="D71" s="76"/>
      <c r="E71" s="76"/>
      <c r="F71" s="76"/>
      <c r="G71" s="76"/>
      <c r="H71" s="76"/>
      <c r="I71" s="52">
        <f t="shared" si="3"/>
        <v>58000</v>
      </c>
      <c r="J71" s="76">
        <v>0</v>
      </c>
      <c r="K71" s="122">
        <f t="shared" si="4"/>
        <v>58000</v>
      </c>
      <c r="L71" s="132">
        <f t="shared" si="6"/>
        <v>0</v>
      </c>
      <c r="N71" s="149"/>
    </row>
    <row r="72" spans="1:14">
      <c r="A72" s="60">
        <v>241</v>
      </c>
      <c r="B72" s="54" t="s">
        <v>63</v>
      </c>
      <c r="C72" s="76">
        <v>3000</v>
      </c>
      <c r="D72" s="76"/>
      <c r="E72" s="76"/>
      <c r="F72" s="76"/>
      <c r="G72" s="76"/>
      <c r="H72" s="76"/>
      <c r="I72" s="52">
        <f t="shared" si="3"/>
        <v>3000</v>
      </c>
      <c r="J72" s="76">
        <v>3518.2</v>
      </c>
      <c r="K72" s="200">
        <f t="shared" si="4"/>
        <v>-518.19999999999982</v>
      </c>
      <c r="L72" s="132">
        <f t="shared" si="6"/>
        <v>2.2718495625672552E-3</v>
      </c>
      <c r="N72" s="149"/>
    </row>
    <row r="73" spans="1:14">
      <c r="A73" s="60">
        <v>243</v>
      </c>
      <c r="B73" s="54" t="s">
        <v>48</v>
      </c>
      <c r="C73" s="76">
        <v>350</v>
      </c>
      <c r="D73" s="76"/>
      <c r="E73" s="76"/>
      <c r="F73" s="76"/>
      <c r="G73" s="76"/>
      <c r="H73" s="76"/>
      <c r="I73" s="52">
        <f t="shared" si="3"/>
        <v>350</v>
      </c>
      <c r="J73" s="76">
        <v>20</v>
      </c>
      <c r="K73" s="122">
        <f t="shared" si="4"/>
        <v>330</v>
      </c>
      <c r="L73" s="132">
        <f t="shared" si="6"/>
        <v>1.2914840330664857E-5</v>
      </c>
      <c r="N73" s="149"/>
    </row>
    <row r="74" spans="1:14">
      <c r="A74" s="60">
        <v>244</v>
      </c>
      <c r="B74" s="54" t="s">
        <v>49</v>
      </c>
      <c r="C74" s="76">
        <v>1000</v>
      </c>
      <c r="D74" s="76"/>
      <c r="E74" s="76"/>
      <c r="F74" s="76"/>
      <c r="G74" s="76"/>
      <c r="H74" s="76"/>
      <c r="I74" s="52">
        <f t="shared" si="3"/>
        <v>1000</v>
      </c>
      <c r="J74" s="76">
        <v>240</v>
      </c>
      <c r="K74" s="122">
        <f t="shared" si="4"/>
        <v>760</v>
      </c>
      <c r="L74" s="132">
        <f t="shared" si="6"/>
        <v>1.549780839679783E-4</v>
      </c>
      <c r="N74" s="149"/>
    </row>
    <row r="75" spans="1:14">
      <c r="A75" s="60">
        <v>245</v>
      </c>
      <c r="B75" s="54" t="s">
        <v>50</v>
      </c>
      <c r="C75" s="76">
        <v>1305</v>
      </c>
      <c r="D75" s="76"/>
      <c r="E75" s="76"/>
      <c r="F75" s="76"/>
      <c r="G75" s="76"/>
      <c r="H75" s="76"/>
      <c r="I75" s="52">
        <f t="shared" si="3"/>
        <v>1305</v>
      </c>
      <c r="J75" s="76">
        <v>0</v>
      </c>
      <c r="K75" s="122">
        <f t="shared" si="4"/>
        <v>1305</v>
      </c>
      <c r="L75" s="132">
        <f t="shared" si="6"/>
        <v>0</v>
      </c>
      <c r="N75" s="149"/>
    </row>
    <row r="76" spans="1:14">
      <c r="A76" s="60">
        <v>253</v>
      </c>
      <c r="B76" s="54" t="s">
        <v>41</v>
      </c>
      <c r="C76" s="76">
        <v>2500</v>
      </c>
      <c r="D76" s="76"/>
      <c r="E76" s="76"/>
      <c r="F76" s="76"/>
      <c r="G76" s="76"/>
      <c r="H76" s="76"/>
      <c r="I76" s="52">
        <f t="shared" si="3"/>
        <v>2500</v>
      </c>
      <c r="J76" s="76">
        <v>0</v>
      </c>
      <c r="K76" s="122">
        <f t="shared" si="4"/>
        <v>2500</v>
      </c>
      <c r="L76" s="132">
        <f t="shared" si="6"/>
        <v>0</v>
      </c>
      <c r="N76" s="149"/>
    </row>
    <row r="77" spans="1:14">
      <c r="A77" s="60">
        <v>254</v>
      </c>
      <c r="B77" s="54" t="s">
        <v>51</v>
      </c>
      <c r="C77" s="76">
        <v>200</v>
      </c>
      <c r="D77" s="76"/>
      <c r="E77" s="76"/>
      <c r="F77" s="76"/>
      <c r="G77" s="76"/>
      <c r="H77" s="76"/>
      <c r="I77" s="52">
        <f t="shared" si="3"/>
        <v>200</v>
      </c>
      <c r="J77" s="76">
        <v>270</v>
      </c>
      <c r="K77" s="200">
        <f t="shared" si="4"/>
        <v>-70</v>
      </c>
      <c r="L77" s="132">
        <f t="shared" si="6"/>
        <v>1.7435034446397558E-4</v>
      </c>
      <c r="N77" s="149"/>
    </row>
    <row r="78" spans="1:14">
      <c r="A78" s="60">
        <v>262</v>
      </c>
      <c r="B78" s="54" t="s">
        <v>64</v>
      </c>
      <c r="C78" s="76">
        <v>9770</v>
      </c>
      <c r="D78" s="76"/>
      <c r="E78" s="76"/>
      <c r="F78" s="76"/>
      <c r="G78" s="76"/>
      <c r="H78" s="76"/>
      <c r="I78" s="52">
        <f t="shared" si="3"/>
        <v>9770</v>
      </c>
      <c r="J78" s="76">
        <v>1690.42</v>
      </c>
      <c r="K78" s="122">
        <f t="shared" si="4"/>
        <v>8079.58</v>
      </c>
      <c r="L78" s="132">
        <f t="shared" si="6"/>
        <v>1.0915752195881244E-3</v>
      </c>
      <c r="N78" s="149"/>
    </row>
    <row r="79" spans="1:14">
      <c r="A79" s="60">
        <v>266</v>
      </c>
      <c r="B79" s="54" t="s">
        <v>65</v>
      </c>
      <c r="C79" s="76">
        <v>600</v>
      </c>
      <c r="D79" s="76"/>
      <c r="E79" s="76"/>
      <c r="F79" s="76"/>
      <c r="G79" s="76"/>
      <c r="H79" s="76"/>
      <c r="I79" s="52">
        <f t="shared" si="3"/>
        <v>600</v>
      </c>
      <c r="J79" s="76">
        <v>0</v>
      </c>
      <c r="K79" s="122">
        <f t="shared" si="4"/>
        <v>600</v>
      </c>
      <c r="L79" s="132">
        <f t="shared" si="6"/>
        <v>0</v>
      </c>
      <c r="N79" s="149"/>
    </row>
    <row r="80" spans="1:14">
      <c r="A80" s="60">
        <v>267</v>
      </c>
      <c r="B80" s="54" t="s">
        <v>93</v>
      </c>
      <c r="C80" s="76">
        <v>15000</v>
      </c>
      <c r="D80" s="76"/>
      <c r="E80" s="76"/>
      <c r="F80" s="76"/>
      <c r="G80" s="76"/>
      <c r="H80" s="76"/>
      <c r="I80" s="52">
        <f t="shared" si="3"/>
        <v>15000</v>
      </c>
      <c r="J80" s="76">
        <v>4309</v>
      </c>
      <c r="K80" s="122">
        <f t="shared" si="4"/>
        <v>10691</v>
      </c>
      <c r="L80" s="132">
        <f t="shared" si="6"/>
        <v>2.7825023492417437E-3</v>
      </c>
      <c r="N80" s="149"/>
    </row>
    <row r="81" spans="1:14">
      <c r="A81" s="60">
        <v>268</v>
      </c>
      <c r="B81" s="54" t="s">
        <v>66</v>
      </c>
      <c r="C81" s="76">
        <v>1858</v>
      </c>
      <c r="D81" s="76"/>
      <c r="E81" s="76"/>
      <c r="F81" s="76"/>
      <c r="G81" s="76"/>
      <c r="H81" s="76"/>
      <c r="I81" s="52">
        <f t="shared" si="3"/>
        <v>1858</v>
      </c>
      <c r="J81" s="76">
        <v>499.35</v>
      </c>
      <c r="K81" s="122">
        <f t="shared" si="4"/>
        <v>1358.65</v>
      </c>
      <c r="L81" s="132">
        <f t="shared" si="6"/>
        <v>3.2245127595587487E-4</v>
      </c>
      <c r="N81" s="149"/>
    </row>
    <row r="82" spans="1:14">
      <c r="A82" s="60">
        <v>269</v>
      </c>
      <c r="B82" s="54" t="s">
        <v>67</v>
      </c>
      <c r="C82" s="76">
        <v>500</v>
      </c>
      <c r="D82" s="76"/>
      <c r="E82" s="76"/>
      <c r="F82" s="76"/>
      <c r="G82" s="76"/>
      <c r="H82" s="76"/>
      <c r="I82" s="52">
        <f t="shared" si="3"/>
        <v>500</v>
      </c>
      <c r="J82" s="76">
        <v>0</v>
      </c>
      <c r="K82" s="122">
        <f t="shared" si="4"/>
        <v>500</v>
      </c>
      <c r="L82" s="132">
        <f t="shared" si="6"/>
        <v>0</v>
      </c>
      <c r="N82" s="149"/>
    </row>
    <row r="83" spans="1:14">
      <c r="A83" s="60">
        <v>271</v>
      </c>
      <c r="B83" s="54" t="s">
        <v>68</v>
      </c>
      <c r="C83" s="76">
        <v>381250</v>
      </c>
      <c r="D83" s="76"/>
      <c r="E83" s="76"/>
      <c r="F83" s="99"/>
      <c r="G83" s="76"/>
      <c r="H83" s="76"/>
      <c r="I83" s="52">
        <f t="shared" si="3"/>
        <v>381250</v>
      </c>
      <c r="J83" s="76">
        <v>0</v>
      </c>
      <c r="K83" s="122">
        <f t="shared" si="4"/>
        <v>381250</v>
      </c>
      <c r="L83" s="132">
        <f t="shared" si="6"/>
        <v>0</v>
      </c>
      <c r="N83" s="149"/>
    </row>
    <row r="84" spans="1:14">
      <c r="A84" s="60">
        <v>283</v>
      </c>
      <c r="B84" s="54" t="s">
        <v>69</v>
      </c>
      <c r="C84" s="76">
        <v>1000</v>
      </c>
      <c r="D84" s="76"/>
      <c r="E84" s="76"/>
      <c r="F84" s="76"/>
      <c r="G84" s="76"/>
      <c r="H84" s="76"/>
      <c r="I84" s="52">
        <f t="shared" si="3"/>
        <v>1000</v>
      </c>
      <c r="J84" s="76">
        <v>31.2</v>
      </c>
      <c r="K84" s="122">
        <f t="shared" si="4"/>
        <v>968.8</v>
      </c>
      <c r="L84" s="132">
        <f t="shared" si="6"/>
        <v>2.0147150915837178E-5</v>
      </c>
      <c r="N84" s="149"/>
    </row>
    <row r="85" spans="1:14">
      <c r="A85" s="60">
        <v>284</v>
      </c>
      <c r="B85" s="54" t="s">
        <v>52</v>
      </c>
      <c r="C85" s="76">
        <v>5000</v>
      </c>
      <c r="D85" s="76"/>
      <c r="E85" s="76"/>
      <c r="F85" s="76"/>
      <c r="G85" s="76"/>
      <c r="H85" s="76"/>
      <c r="I85" s="52">
        <f t="shared" si="3"/>
        <v>5000</v>
      </c>
      <c r="J85" s="76">
        <v>344.23</v>
      </c>
      <c r="K85" s="122">
        <f t="shared" ref="K85:K93" si="7">I85-J85</f>
        <v>4655.7700000000004</v>
      </c>
      <c r="L85" s="132">
        <f t="shared" si="6"/>
        <v>2.222837743512382E-4</v>
      </c>
      <c r="N85" s="149"/>
    </row>
    <row r="86" spans="1:14">
      <c r="A86" s="60">
        <v>285</v>
      </c>
      <c r="B86" s="54" t="s">
        <v>128</v>
      </c>
      <c r="C86" s="76">
        <v>1516915</v>
      </c>
      <c r="D86" s="76"/>
      <c r="E86" s="76"/>
      <c r="F86" s="76"/>
      <c r="G86" s="76"/>
      <c r="H86" s="76"/>
      <c r="I86" s="52">
        <f t="shared" si="3"/>
        <v>1516915</v>
      </c>
      <c r="J86" s="76">
        <v>0</v>
      </c>
      <c r="K86" s="122">
        <f t="shared" si="7"/>
        <v>1516915</v>
      </c>
      <c r="L86" s="132">
        <f t="shared" si="6"/>
        <v>0</v>
      </c>
      <c r="N86" s="149"/>
    </row>
    <row r="87" spans="1:14">
      <c r="A87" s="60">
        <v>291</v>
      </c>
      <c r="B87" s="54" t="s">
        <v>70</v>
      </c>
      <c r="C87" s="76">
        <v>6500</v>
      </c>
      <c r="D87" s="76"/>
      <c r="E87" s="76"/>
      <c r="F87" s="76"/>
      <c r="G87" s="76"/>
      <c r="H87" s="76"/>
      <c r="I87" s="52">
        <f t="shared" si="3"/>
        <v>6500</v>
      </c>
      <c r="J87" s="76">
        <v>3386.52</v>
      </c>
      <c r="K87" s="122">
        <f t="shared" si="7"/>
        <v>3113.48</v>
      </c>
      <c r="L87" s="132">
        <f t="shared" si="6"/>
        <v>2.1868182538301575E-3</v>
      </c>
      <c r="N87" s="149"/>
    </row>
    <row r="88" spans="1:14">
      <c r="A88" s="60">
        <v>292</v>
      </c>
      <c r="B88" s="54" t="s">
        <v>71</v>
      </c>
      <c r="C88" s="76">
        <v>1300</v>
      </c>
      <c r="D88" s="76"/>
      <c r="E88" s="76"/>
      <c r="F88" s="76"/>
      <c r="G88" s="76"/>
      <c r="H88" s="76"/>
      <c r="I88" s="52">
        <f t="shared" si="3"/>
        <v>1300</v>
      </c>
      <c r="J88" s="76">
        <v>360.05999999999995</v>
      </c>
      <c r="K88" s="122">
        <f t="shared" si="7"/>
        <v>939.94</v>
      </c>
      <c r="L88" s="132">
        <f t="shared" si="6"/>
        <v>2.325058704729594E-4</v>
      </c>
      <c r="N88" s="149"/>
    </row>
    <row r="89" spans="1:14">
      <c r="A89" s="60">
        <v>294</v>
      </c>
      <c r="B89" s="54" t="s">
        <v>72</v>
      </c>
      <c r="C89" s="76">
        <v>65000</v>
      </c>
      <c r="D89" s="98"/>
      <c r="E89" s="98"/>
      <c r="F89" s="98"/>
      <c r="G89" s="98"/>
      <c r="H89" s="98"/>
      <c r="I89" s="52">
        <f t="shared" si="3"/>
        <v>65000</v>
      </c>
      <c r="J89" s="76">
        <v>18270.95</v>
      </c>
      <c r="K89" s="122">
        <f t="shared" si="7"/>
        <v>46729.05</v>
      </c>
      <c r="L89" s="132">
        <f t="shared" si="6"/>
        <v>1.1798320096978055E-2</v>
      </c>
      <c r="N89" s="149"/>
    </row>
    <row r="90" spans="1:14">
      <c r="A90" s="60">
        <v>296</v>
      </c>
      <c r="B90" s="54" t="s">
        <v>114</v>
      </c>
      <c r="C90" s="76">
        <v>800</v>
      </c>
      <c r="D90" s="76"/>
      <c r="E90" s="76"/>
      <c r="F90" s="76"/>
      <c r="G90" s="76"/>
      <c r="H90" s="76"/>
      <c r="I90" s="52">
        <f>C90+D90-E90+F90-G90</f>
        <v>800</v>
      </c>
      <c r="J90" s="76">
        <v>0</v>
      </c>
      <c r="K90" s="122">
        <f t="shared" si="7"/>
        <v>800</v>
      </c>
      <c r="L90" s="132">
        <f t="shared" si="6"/>
        <v>0</v>
      </c>
      <c r="N90" s="149"/>
    </row>
    <row r="91" spans="1:14">
      <c r="A91" s="60">
        <v>297</v>
      </c>
      <c r="B91" s="54" t="s">
        <v>73</v>
      </c>
      <c r="C91" s="76">
        <v>800</v>
      </c>
      <c r="D91" s="76"/>
      <c r="E91" s="76"/>
      <c r="F91" s="76"/>
      <c r="G91" s="76"/>
      <c r="H91" s="76"/>
      <c r="I91" s="52">
        <f t="shared" si="3"/>
        <v>800</v>
      </c>
      <c r="J91" s="76">
        <v>0</v>
      </c>
      <c r="K91" s="122">
        <f t="shared" si="7"/>
        <v>800</v>
      </c>
      <c r="L91" s="132">
        <f t="shared" si="6"/>
        <v>0</v>
      </c>
      <c r="N91" s="149"/>
    </row>
    <row r="92" spans="1:14">
      <c r="A92" s="60">
        <v>298</v>
      </c>
      <c r="B92" s="54" t="s">
        <v>26</v>
      </c>
      <c r="C92" s="76">
        <v>20000</v>
      </c>
      <c r="D92" s="98"/>
      <c r="E92" s="98"/>
      <c r="F92" s="76"/>
      <c r="G92" s="76"/>
      <c r="H92" s="76"/>
      <c r="I92" s="52">
        <f t="shared" si="3"/>
        <v>20000</v>
      </c>
      <c r="J92" s="76">
        <v>3028.94</v>
      </c>
      <c r="K92" s="122">
        <f t="shared" si="7"/>
        <v>16971.060000000001</v>
      </c>
      <c r="L92" s="132">
        <f t="shared" si="6"/>
        <v>1.9559138235582009E-3</v>
      </c>
      <c r="N92" s="149"/>
    </row>
    <row r="93" spans="1:14">
      <c r="A93" s="60">
        <v>299</v>
      </c>
      <c r="B93" s="54" t="s">
        <v>74</v>
      </c>
      <c r="C93" s="76">
        <v>15000</v>
      </c>
      <c r="D93" s="98"/>
      <c r="E93" s="98"/>
      <c r="F93" s="98"/>
      <c r="G93" s="98"/>
      <c r="H93" s="98"/>
      <c r="I93" s="52">
        <f t="shared" si="3"/>
        <v>15000</v>
      </c>
      <c r="J93" s="76">
        <v>3069.91</v>
      </c>
      <c r="K93" s="122">
        <f t="shared" si="7"/>
        <v>11930.09</v>
      </c>
      <c r="L93" s="132">
        <f t="shared" si="6"/>
        <v>1.9823698739755676E-3</v>
      </c>
      <c r="N93" s="149"/>
    </row>
    <row r="94" spans="1:14">
      <c r="A94" s="59">
        <v>3</v>
      </c>
      <c r="B94" s="59" t="s">
        <v>12</v>
      </c>
      <c r="C94" s="76"/>
      <c r="D94" s="76"/>
      <c r="E94" s="76"/>
      <c r="F94" s="76"/>
      <c r="G94" s="76"/>
      <c r="H94" s="76"/>
      <c r="I94" s="52"/>
      <c r="J94" s="105"/>
      <c r="K94" s="122"/>
      <c r="L94" s="132"/>
      <c r="N94" s="149"/>
    </row>
    <row r="95" spans="1:14">
      <c r="A95" s="60">
        <v>322</v>
      </c>
      <c r="B95" s="54" t="s">
        <v>88</v>
      </c>
      <c r="C95" s="76">
        <v>32000</v>
      </c>
      <c r="D95" s="76"/>
      <c r="E95" s="76"/>
      <c r="F95" s="76"/>
      <c r="G95" s="76"/>
      <c r="H95" s="76"/>
      <c r="I95" s="52">
        <f t="shared" si="3"/>
        <v>32000</v>
      </c>
      <c r="J95" s="76">
        <v>5775</v>
      </c>
      <c r="K95" s="122">
        <f t="shared" ref="K95:K106" si="8">I95-J95</f>
        <v>26225</v>
      </c>
      <c r="L95" s="132">
        <f>J95/$J$108</f>
        <v>3.7291601454794774E-3</v>
      </c>
      <c r="N95" s="149"/>
    </row>
    <row r="96" spans="1:14">
      <c r="A96" s="60">
        <v>323</v>
      </c>
      <c r="B96" s="54" t="s">
        <v>140</v>
      </c>
      <c r="C96" s="76">
        <v>3000</v>
      </c>
      <c r="D96" s="76"/>
      <c r="E96" s="76"/>
      <c r="F96" s="76"/>
      <c r="G96" s="76"/>
      <c r="H96" s="76"/>
      <c r="I96" s="52">
        <f t="shared" si="3"/>
        <v>3000</v>
      </c>
      <c r="J96" s="76">
        <v>0</v>
      </c>
      <c r="K96" s="122">
        <f t="shared" si="8"/>
        <v>3000</v>
      </c>
      <c r="L96" s="132">
        <f>J96/$J$108</f>
        <v>0</v>
      </c>
      <c r="N96" s="149"/>
    </row>
    <row r="97" spans="1:14">
      <c r="A97" s="60">
        <v>324</v>
      </c>
      <c r="B97" s="54" t="s">
        <v>141</v>
      </c>
      <c r="C97" s="76">
        <v>116220</v>
      </c>
      <c r="D97" s="76"/>
      <c r="E97" s="76"/>
      <c r="F97" s="76"/>
      <c r="G97" s="76"/>
      <c r="H97" s="76"/>
      <c r="I97" s="52">
        <f t="shared" si="3"/>
        <v>116220</v>
      </c>
      <c r="J97" s="76">
        <v>10300</v>
      </c>
      <c r="K97" s="122">
        <f t="shared" si="8"/>
        <v>105920</v>
      </c>
      <c r="L97" s="132">
        <f>J97/$J$108</f>
        <v>6.6511427702924016E-3</v>
      </c>
      <c r="N97" s="149"/>
    </row>
    <row r="98" spans="1:14">
      <c r="A98" s="60">
        <v>328</v>
      </c>
      <c r="B98" s="54" t="s">
        <v>89</v>
      </c>
      <c r="C98" s="76">
        <v>18000</v>
      </c>
      <c r="D98" s="76"/>
      <c r="E98" s="76"/>
      <c r="F98" s="76"/>
      <c r="G98" s="76"/>
      <c r="H98" s="76"/>
      <c r="I98" s="52">
        <f t="shared" si="3"/>
        <v>18000</v>
      </c>
      <c r="J98" s="76">
        <v>375</v>
      </c>
      <c r="K98" s="122">
        <f t="shared" si="8"/>
        <v>17625</v>
      </c>
      <c r="L98" s="132">
        <f>J98/$J$108</f>
        <v>2.4215325619996608E-4</v>
      </c>
      <c r="N98" s="149"/>
    </row>
    <row r="99" spans="1:14">
      <c r="A99" s="60">
        <v>329</v>
      </c>
      <c r="B99" s="54" t="s">
        <v>90</v>
      </c>
      <c r="C99" s="76">
        <v>8000</v>
      </c>
      <c r="D99" s="76"/>
      <c r="E99" s="76"/>
      <c r="F99" s="76"/>
      <c r="G99" s="76"/>
      <c r="H99" s="76"/>
      <c r="I99" s="52">
        <f t="shared" si="3"/>
        <v>8000</v>
      </c>
      <c r="J99" s="76">
        <v>0</v>
      </c>
      <c r="K99" s="122">
        <f t="shared" si="8"/>
        <v>8000</v>
      </c>
      <c r="L99" s="132">
        <f>J99/$J$108</f>
        <v>0</v>
      </c>
      <c r="N99" s="149"/>
    </row>
    <row r="100" spans="1:14">
      <c r="A100" s="59"/>
      <c r="B100" s="59"/>
      <c r="C100" s="76"/>
      <c r="D100" s="76"/>
      <c r="E100" s="76"/>
      <c r="F100" s="76"/>
      <c r="G100" s="76"/>
      <c r="H100" s="76"/>
      <c r="I100" s="52"/>
      <c r="J100" s="76"/>
      <c r="K100" s="122"/>
      <c r="L100" s="132"/>
      <c r="N100" s="149"/>
    </row>
    <row r="101" spans="1:14">
      <c r="A101" s="59">
        <v>4</v>
      </c>
      <c r="B101" s="59" t="s">
        <v>13</v>
      </c>
      <c r="C101" s="76"/>
      <c r="D101" s="76"/>
      <c r="E101" s="76"/>
      <c r="F101" s="76"/>
      <c r="G101" s="76"/>
      <c r="H101" s="76"/>
      <c r="I101" s="52"/>
      <c r="J101" s="76"/>
      <c r="K101" s="122"/>
      <c r="L101" s="132"/>
      <c r="N101" s="149"/>
    </row>
    <row r="102" spans="1:14">
      <c r="A102" s="61">
        <v>413</v>
      </c>
      <c r="B102" s="62" t="s">
        <v>77</v>
      </c>
      <c r="C102" s="76">
        <v>46000</v>
      </c>
      <c r="D102" s="76"/>
      <c r="E102" s="76"/>
      <c r="F102" s="76"/>
      <c r="G102" s="129"/>
      <c r="H102" s="129"/>
      <c r="I102" s="52">
        <f t="shared" ref="I102:I106" si="9">C102+D102-E102+F102-G102</f>
        <v>46000</v>
      </c>
      <c r="J102" s="76">
        <v>0</v>
      </c>
      <c r="K102" s="122">
        <f t="shared" si="8"/>
        <v>46000</v>
      </c>
      <c r="L102" s="132">
        <f>J102/$J$108</f>
        <v>0</v>
      </c>
      <c r="N102" s="149"/>
    </row>
    <row r="103" spans="1:14">
      <c r="A103" s="61">
        <v>415</v>
      </c>
      <c r="B103" s="62" t="s">
        <v>78</v>
      </c>
      <c r="C103" s="76">
        <v>30100</v>
      </c>
      <c r="D103" s="76"/>
      <c r="E103" s="76"/>
      <c r="F103" s="76"/>
      <c r="G103" s="129"/>
      <c r="H103" s="129"/>
      <c r="I103" s="52">
        <f t="shared" si="9"/>
        <v>30100</v>
      </c>
      <c r="J103" s="76">
        <v>0</v>
      </c>
      <c r="K103" s="122">
        <f t="shared" si="8"/>
        <v>30100</v>
      </c>
      <c r="L103" s="132">
        <f>J103/$J$108</f>
        <v>0</v>
      </c>
      <c r="N103" s="149"/>
    </row>
    <row r="104" spans="1:14">
      <c r="A104" s="61">
        <v>419</v>
      </c>
      <c r="B104" s="62" t="s">
        <v>79</v>
      </c>
      <c r="C104" s="76">
        <v>19200</v>
      </c>
      <c r="D104" s="76"/>
      <c r="E104" s="76"/>
      <c r="F104" s="129"/>
      <c r="G104" s="129"/>
      <c r="H104" s="129"/>
      <c r="I104" s="52">
        <f t="shared" si="9"/>
        <v>19200</v>
      </c>
      <c r="J104" s="76">
        <v>1000</v>
      </c>
      <c r="K104" s="122">
        <f t="shared" si="8"/>
        <v>18200</v>
      </c>
      <c r="L104" s="132">
        <f>J104/$J$108</f>
        <v>6.4574201653324291E-4</v>
      </c>
      <c r="N104" s="149"/>
    </row>
    <row r="105" spans="1:14">
      <c r="A105" s="61">
        <v>453</v>
      </c>
      <c r="B105" s="62" t="s">
        <v>80</v>
      </c>
      <c r="C105" s="76">
        <v>120000</v>
      </c>
      <c r="D105" s="76"/>
      <c r="E105" s="76"/>
      <c r="F105" s="129"/>
      <c r="G105" s="129"/>
      <c r="H105" s="129"/>
      <c r="I105" s="52">
        <f>C105+D105-E105+F105-G105</f>
        <v>120000</v>
      </c>
      <c r="J105" s="76">
        <v>79286.350000000006</v>
      </c>
      <c r="K105" s="122">
        <f t="shared" si="8"/>
        <v>40713.649999999994</v>
      </c>
      <c r="L105" s="132">
        <f>J105/$J$108</f>
        <v>5.1198527532560482E-2</v>
      </c>
      <c r="N105" s="149"/>
    </row>
    <row r="106" spans="1:14">
      <c r="A106" s="61">
        <v>472</v>
      </c>
      <c r="B106" s="62" t="s">
        <v>118</v>
      </c>
      <c r="C106" s="76">
        <v>4000</v>
      </c>
      <c r="D106" s="76"/>
      <c r="E106" s="76"/>
      <c r="F106" s="129"/>
      <c r="G106" s="129"/>
      <c r="H106" s="129"/>
      <c r="I106" s="52">
        <f t="shared" si="9"/>
        <v>4000</v>
      </c>
      <c r="J106" s="76">
        <v>2089.9</v>
      </c>
      <c r="K106" s="122">
        <f t="shared" si="8"/>
        <v>1910.1</v>
      </c>
      <c r="L106" s="132">
        <f>J106/$J$108</f>
        <v>1.3495362403528244E-3</v>
      </c>
      <c r="N106" s="149"/>
    </row>
    <row r="107" spans="1:14" ht="20.25" customHeight="1" thickBot="1">
      <c r="A107" s="56"/>
      <c r="B107" s="160"/>
      <c r="C107" s="161"/>
      <c r="D107" s="76"/>
      <c r="E107" s="76"/>
      <c r="F107" s="101"/>
      <c r="G107" s="101"/>
      <c r="H107" s="101"/>
      <c r="I107" s="52"/>
      <c r="J107" s="101"/>
      <c r="K107" s="125"/>
      <c r="L107" s="132"/>
    </row>
    <row r="108" spans="1:14" ht="20.25" customHeight="1" thickBot="1">
      <c r="A108" s="162"/>
      <c r="B108" s="19" t="s">
        <v>7</v>
      </c>
      <c r="C108" s="11">
        <f>SUM(C20:C107)</f>
        <v>6176079.2063746657</v>
      </c>
      <c r="D108" s="11">
        <f>SUM(D20:D107)</f>
        <v>0</v>
      </c>
      <c r="E108" s="11">
        <f>SUM(E20:E107)</f>
        <v>0</v>
      </c>
      <c r="F108" s="11">
        <f t="shared" ref="F108:K108" si="10">SUM(F20:F107)</f>
        <v>0</v>
      </c>
      <c r="G108" s="11">
        <f t="shared" si="10"/>
        <v>0</v>
      </c>
      <c r="H108" s="11">
        <f t="shared" si="10"/>
        <v>0</v>
      </c>
      <c r="I108" s="11">
        <f t="shared" si="10"/>
        <v>6176079.2063746657</v>
      </c>
      <c r="J108" s="63">
        <f t="shared" si="10"/>
        <v>1548606.0599999998</v>
      </c>
      <c r="K108" s="11">
        <f t="shared" si="10"/>
        <v>4627473.1463746661</v>
      </c>
      <c r="L108" s="163">
        <f>J108/J108</f>
        <v>1</v>
      </c>
    </row>
    <row r="109" spans="1:14" ht="20.25" customHeight="1">
      <c r="A109" s="164"/>
      <c r="B109" s="36"/>
      <c r="C109" s="37"/>
      <c r="D109" s="37"/>
      <c r="E109" s="37"/>
      <c r="F109" s="37"/>
      <c r="G109" s="64"/>
      <c r="H109" s="37"/>
      <c r="I109" s="37"/>
      <c r="J109" s="64"/>
      <c r="K109" s="37"/>
      <c r="L109" s="39"/>
    </row>
    <row r="110" spans="1:14" ht="20.25" customHeight="1" thickBot="1">
      <c r="A110" s="164"/>
      <c r="B110" s="36"/>
      <c r="C110" s="37"/>
      <c r="D110" s="37"/>
      <c r="E110" s="37"/>
      <c r="F110" s="37"/>
      <c r="G110" s="37"/>
      <c r="H110" s="37"/>
      <c r="I110" s="37"/>
      <c r="J110" s="64"/>
      <c r="K110" s="37"/>
      <c r="L110" s="39"/>
    </row>
    <row r="111" spans="1:14" s="35" customFormat="1">
      <c r="A111" s="81" t="s">
        <v>8</v>
      </c>
      <c r="B111" s="81"/>
      <c r="C111" s="165"/>
      <c r="D111" s="32"/>
      <c r="E111" s="32"/>
      <c r="F111" s="96"/>
      <c r="G111" s="96"/>
      <c r="H111" s="96"/>
      <c r="I111" s="42"/>
      <c r="J111" s="32"/>
      <c r="K111" s="33"/>
      <c r="L111" s="34"/>
    </row>
    <row r="112" spans="1:14" s="35" customFormat="1">
      <c r="A112" s="84" t="s">
        <v>0</v>
      </c>
      <c r="B112" s="84"/>
      <c r="C112" s="166"/>
      <c r="D112" s="32"/>
      <c r="E112" s="32"/>
      <c r="F112" s="96"/>
      <c r="G112" s="96"/>
      <c r="H112" s="96"/>
      <c r="I112" s="42"/>
      <c r="J112" s="32"/>
      <c r="K112" s="33"/>
      <c r="L112" s="34"/>
    </row>
    <row r="113" spans="1:12" s="35" customFormat="1" ht="12" customHeight="1" thickBot="1">
      <c r="A113" s="84"/>
      <c r="B113" s="84"/>
      <c r="C113" s="166"/>
      <c r="D113" s="32"/>
      <c r="E113" s="32"/>
      <c r="F113" s="96"/>
      <c r="G113" s="96"/>
      <c r="H113" s="96"/>
      <c r="I113" s="42"/>
      <c r="J113" s="32"/>
      <c r="K113" s="33"/>
      <c r="L113" s="34"/>
    </row>
    <row r="114" spans="1:12" s="35" customFormat="1">
      <c r="A114" s="90" t="s">
        <v>121</v>
      </c>
      <c r="B114" s="85"/>
      <c r="C114" s="167"/>
      <c r="D114" s="32"/>
      <c r="E114" s="32"/>
      <c r="F114" s="96"/>
      <c r="G114" s="96"/>
      <c r="H114" s="96"/>
      <c r="I114" s="42"/>
      <c r="J114" s="32"/>
      <c r="K114" s="33"/>
      <c r="L114" s="34"/>
    </row>
    <row r="115" spans="1:12" s="35" customFormat="1">
      <c r="A115" s="91" t="s">
        <v>131</v>
      </c>
      <c r="B115" s="83"/>
      <c r="C115" s="168">
        <v>1077959.21</v>
      </c>
      <c r="D115" s="32"/>
      <c r="E115" s="169"/>
      <c r="F115" s="96"/>
      <c r="G115" s="96"/>
      <c r="H115" s="96"/>
      <c r="I115" s="42"/>
      <c r="J115" s="32"/>
      <c r="K115" s="33"/>
      <c r="L115" s="34"/>
    </row>
    <row r="116" spans="1:12" s="35" customFormat="1">
      <c r="A116" s="91" t="s">
        <v>81</v>
      </c>
      <c r="B116" s="83"/>
      <c r="C116" s="168">
        <f>ROUND((J18),2)</f>
        <v>1195061.82</v>
      </c>
      <c r="D116" s="32"/>
      <c r="E116" s="169"/>
      <c r="F116" s="135"/>
      <c r="G116" s="96"/>
      <c r="H116" s="96"/>
      <c r="I116" s="42"/>
      <c r="J116" s="32"/>
      <c r="K116" s="33"/>
      <c r="L116" s="34"/>
    </row>
    <row r="117" spans="1:12" s="35" customFormat="1">
      <c r="A117" s="91" t="s">
        <v>94</v>
      </c>
      <c r="B117" s="83"/>
      <c r="C117" s="109">
        <f>-ROUND((J108),2)</f>
        <v>-1548606.06</v>
      </c>
      <c r="D117" s="32"/>
      <c r="E117" s="169"/>
      <c r="F117" s="135"/>
      <c r="G117" s="96"/>
      <c r="H117" s="96"/>
      <c r="I117" s="42"/>
      <c r="J117" s="32"/>
      <c r="K117" s="33"/>
      <c r="L117" s="34"/>
    </row>
    <row r="118" spans="1:12" s="35" customFormat="1">
      <c r="A118" s="93" t="s">
        <v>120</v>
      </c>
      <c r="B118" s="83"/>
      <c r="C118" s="170">
        <f>SUM(C115:C117)</f>
        <v>724414.9700000002</v>
      </c>
      <c r="D118" s="171"/>
      <c r="E118" s="169"/>
      <c r="F118" s="135"/>
      <c r="G118" s="96"/>
      <c r="H118" s="96"/>
      <c r="I118" s="42"/>
      <c r="J118" s="32"/>
      <c r="K118" s="33"/>
      <c r="L118" s="34"/>
    </row>
    <row r="119" spans="1:12" s="35" customFormat="1">
      <c r="A119" s="92" t="s">
        <v>122</v>
      </c>
      <c r="B119" s="82"/>
      <c r="C119" s="119"/>
      <c r="D119" s="32"/>
      <c r="E119" s="32"/>
      <c r="F119" s="130"/>
      <c r="G119" s="118"/>
      <c r="H119" s="96"/>
      <c r="I119" s="42"/>
      <c r="J119" s="32"/>
      <c r="K119" s="33"/>
      <c r="L119" s="34"/>
    </row>
    <row r="120" spans="1:12" s="35" customFormat="1">
      <c r="A120" s="91" t="s">
        <v>143</v>
      </c>
      <c r="B120" s="83"/>
      <c r="C120" s="168">
        <v>-5000</v>
      </c>
      <c r="D120" s="32"/>
      <c r="E120" s="32"/>
      <c r="F120" s="131"/>
      <c r="G120" s="118"/>
      <c r="H120" s="96"/>
      <c r="I120" s="42"/>
      <c r="J120" s="32"/>
      <c r="K120" s="33"/>
      <c r="L120" s="34"/>
    </row>
    <row r="121" spans="1:12" s="35" customFormat="1" ht="6.95" customHeight="1">
      <c r="A121" s="91"/>
      <c r="B121" s="83"/>
      <c r="C121" s="109"/>
      <c r="D121" s="32"/>
      <c r="E121" s="95"/>
      <c r="F121" s="117"/>
      <c r="G121" s="118"/>
      <c r="H121" s="96"/>
      <c r="I121" s="42"/>
      <c r="J121" s="32"/>
      <c r="K121" s="33"/>
      <c r="L121" s="34"/>
    </row>
    <row r="122" spans="1:12" s="35" customFormat="1">
      <c r="A122" s="91"/>
      <c r="B122" s="83"/>
      <c r="C122" s="170">
        <f>SUM(C120:C121)</f>
        <v>-5000</v>
      </c>
      <c r="D122" s="32"/>
      <c r="E122" s="32"/>
      <c r="F122" s="117"/>
      <c r="G122" s="118"/>
      <c r="H122" s="96"/>
      <c r="I122" s="42"/>
      <c r="J122" s="32"/>
      <c r="K122" s="33"/>
      <c r="L122" s="34"/>
    </row>
    <row r="123" spans="1:12" s="35" customFormat="1" ht="6.95" customHeight="1">
      <c r="A123" s="91"/>
      <c r="B123" s="83"/>
      <c r="C123" s="109"/>
      <c r="D123" s="32"/>
      <c r="E123" s="32"/>
      <c r="F123" s="96"/>
      <c r="G123" s="96"/>
      <c r="H123" s="96"/>
      <c r="I123" s="42"/>
      <c r="J123" s="32"/>
      <c r="K123" s="33"/>
      <c r="L123" s="34"/>
    </row>
    <row r="124" spans="1:12" s="35" customFormat="1" ht="6.95" customHeight="1">
      <c r="A124" s="91"/>
      <c r="B124" s="83"/>
      <c r="C124" s="172"/>
      <c r="D124" s="32"/>
      <c r="E124" s="32"/>
      <c r="F124" s="96"/>
      <c r="G124" s="96"/>
      <c r="H124" s="96"/>
      <c r="I124" s="42"/>
      <c r="J124" s="32"/>
      <c r="K124" s="33"/>
      <c r="L124" s="34"/>
    </row>
    <row r="125" spans="1:12" s="35" customFormat="1" ht="18.75" thickBot="1">
      <c r="A125" s="93" t="s">
        <v>161</v>
      </c>
      <c r="B125" s="88"/>
      <c r="C125" s="173">
        <f>C118+C122</f>
        <v>719414.9700000002</v>
      </c>
      <c r="D125" s="174"/>
      <c r="F125" s="96"/>
      <c r="G125" s="96"/>
      <c r="H125" s="96"/>
      <c r="I125" s="42"/>
      <c r="J125" s="32"/>
      <c r="K125" s="33"/>
      <c r="L125" s="34"/>
    </row>
    <row r="126" spans="1:12" s="35" customFormat="1" ht="6.95" customHeight="1" thickTop="1" thickBot="1">
      <c r="A126" s="94"/>
      <c r="B126" s="87"/>
      <c r="C126" s="175"/>
      <c r="D126" s="174"/>
      <c r="F126" s="96"/>
      <c r="G126" s="96"/>
      <c r="H126" s="96"/>
      <c r="I126" s="42"/>
      <c r="J126" s="32"/>
      <c r="K126" s="33"/>
      <c r="L126" s="34"/>
    </row>
    <row r="127" spans="1:12">
      <c r="A127" s="43"/>
      <c r="B127" s="43"/>
      <c r="C127" s="176">
        <f>719414.97-C125</f>
        <v>0</v>
      </c>
      <c r="D127" s="174"/>
      <c r="F127" s="136"/>
      <c r="G127" s="102"/>
      <c r="H127" s="102"/>
      <c r="I127" s="102"/>
      <c r="J127" s="102"/>
      <c r="K127" s="102"/>
      <c r="L127" s="102"/>
    </row>
    <row r="128" spans="1:12">
      <c r="A128" s="43"/>
      <c r="B128" s="43"/>
      <c r="C128" s="177"/>
      <c r="D128" s="174"/>
      <c r="F128" s="102"/>
      <c r="G128" s="102"/>
      <c r="H128" s="102"/>
      <c r="I128" s="102"/>
      <c r="J128" s="102"/>
      <c r="K128" s="102"/>
      <c r="L128" s="102"/>
    </row>
    <row r="129" spans="1:13">
      <c r="A129" s="36"/>
      <c r="B129" s="178" t="s">
        <v>159</v>
      </c>
      <c r="C129" s="179"/>
      <c r="D129" s="174"/>
      <c r="E129" s="95"/>
      <c r="F129" s="102"/>
      <c r="G129" s="102"/>
      <c r="I129" s="102"/>
      <c r="J129" s="102"/>
      <c r="K129" s="102"/>
      <c r="L129" s="102"/>
    </row>
    <row r="130" spans="1:13">
      <c r="A130" s="36"/>
      <c r="B130" s="43"/>
      <c r="C130" s="180"/>
      <c r="D130" s="174"/>
      <c r="E130" s="102"/>
      <c r="F130" s="102"/>
      <c r="G130" s="102"/>
      <c r="H130" s="102"/>
      <c r="I130" s="102"/>
      <c r="J130" s="102"/>
      <c r="K130" s="102"/>
      <c r="L130" s="102"/>
    </row>
    <row r="131" spans="1:13">
      <c r="A131" s="36"/>
      <c r="B131" s="43"/>
      <c r="C131" s="180"/>
      <c r="D131" s="174"/>
      <c r="E131" s="102"/>
      <c r="F131" s="102"/>
      <c r="G131" s="102"/>
      <c r="H131" s="102"/>
      <c r="I131" s="102"/>
      <c r="J131" s="102"/>
      <c r="K131" s="102"/>
      <c r="L131" s="102"/>
    </row>
    <row r="132" spans="1:13">
      <c r="A132" s="36"/>
      <c r="B132" s="43"/>
      <c r="C132" s="149"/>
      <c r="D132" s="174"/>
      <c r="E132" s="102"/>
      <c r="F132" s="102"/>
      <c r="G132" s="102"/>
      <c r="H132" s="102"/>
      <c r="I132" s="102"/>
      <c r="J132" s="102"/>
      <c r="K132" s="102"/>
      <c r="L132" s="102"/>
    </row>
    <row r="133" spans="1:13">
      <c r="A133" s="36"/>
      <c r="B133" s="43"/>
      <c r="C133" s="149"/>
      <c r="E133" s="102"/>
      <c r="F133" s="102"/>
      <c r="G133" s="102"/>
      <c r="H133" s="102"/>
      <c r="I133" s="102"/>
      <c r="J133" s="102"/>
      <c r="K133" s="102"/>
      <c r="L133" s="102"/>
    </row>
    <row r="134" spans="1:13">
      <c r="A134" s="164"/>
      <c r="B134" s="43"/>
      <c r="C134" s="45"/>
      <c r="D134" s="42"/>
      <c r="E134" s="95"/>
      <c r="F134" s="95"/>
      <c r="G134" s="102"/>
      <c r="H134" s="102"/>
      <c r="I134" s="102"/>
      <c r="J134" s="102"/>
      <c r="K134" s="102"/>
      <c r="L134" s="102"/>
    </row>
    <row r="135" spans="1:13">
      <c r="A135" s="164"/>
      <c r="B135" s="102"/>
      <c r="C135" s="181"/>
      <c r="D135" s="102"/>
      <c r="E135" s="95"/>
      <c r="F135" s="95"/>
      <c r="G135" s="102"/>
      <c r="H135" s="102"/>
      <c r="I135" s="102"/>
      <c r="J135" s="102"/>
      <c r="K135" s="102"/>
      <c r="L135" s="102"/>
    </row>
    <row r="136" spans="1:13" ht="18.75">
      <c r="A136" s="164"/>
      <c r="B136" s="103" t="s">
        <v>152</v>
      </c>
      <c r="C136" s="182" t="s">
        <v>153</v>
      </c>
      <c r="E136" s="103"/>
      <c r="F136" s="103"/>
      <c r="G136" s="182" t="s">
        <v>156</v>
      </c>
      <c r="J136" s="103"/>
      <c r="K136" s="126"/>
      <c r="L136" s="103"/>
    </row>
    <row r="137" spans="1:13" ht="18.75">
      <c r="A137" s="164"/>
      <c r="B137" s="183" t="s">
        <v>154</v>
      </c>
      <c r="C137" s="184" t="s">
        <v>155</v>
      </c>
      <c r="E137" s="104"/>
      <c r="F137" s="145"/>
      <c r="G137" s="184" t="s">
        <v>148</v>
      </c>
      <c r="J137" s="104"/>
      <c r="K137" s="104"/>
      <c r="L137" s="104"/>
    </row>
    <row r="138" spans="1:13" ht="18.75">
      <c r="A138" s="164"/>
      <c r="B138" s="104"/>
      <c r="D138" s="126"/>
      <c r="E138" s="104"/>
      <c r="F138" s="104"/>
      <c r="G138" s="104"/>
      <c r="H138" s="104"/>
      <c r="I138" s="185"/>
      <c r="J138" s="104"/>
      <c r="K138" s="104"/>
      <c r="L138" s="104"/>
    </row>
    <row r="139" spans="1:13" ht="18.75">
      <c r="A139" s="164"/>
      <c r="B139" s="104"/>
      <c r="C139" s="149"/>
      <c r="D139" s="104"/>
      <c r="F139" s="104"/>
      <c r="G139" s="104"/>
      <c r="H139" s="104"/>
      <c r="I139" s="104"/>
      <c r="J139" s="104"/>
      <c r="L139" s="104"/>
    </row>
    <row r="140" spans="1:13">
      <c r="A140" s="29"/>
      <c r="B140" s="153"/>
      <c r="C140" s="114"/>
      <c r="D140" s="153"/>
      <c r="F140" s="116"/>
      <c r="G140" s="116"/>
      <c r="H140" s="116"/>
      <c r="I140" s="153"/>
      <c r="J140" s="116"/>
      <c r="L140" s="34"/>
      <c r="M140" s="35"/>
    </row>
    <row r="141" spans="1:13">
      <c r="A141" s="29"/>
      <c r="B141" s="113"/>
      <c r="C141" s="114"/>
      <c r="D141" s="116"/>
      <c r="E141" s="116"/>
      <c r="F141" s="116"/>
      <c r="G141" s="116"/>
      <c r="H141" s="116"/>
      <c r="I141" s="116"/>
      <c r="J141" s="116"/>
      <c r="K141" s="33"/>
      <c r="L141" s="34"/>
      <c r="M141" s="35"/>
    </row>
    <row r="142" spans="1:13">
      <c r="A142" s="36"/>
      <c r="B142" s="28"/>
      <c r="C142" s="115"/>
      <c r="D142" s="116"/>
      <c r="E142" s="116"/>
      <c r="F142" s="116"/>
      <c r="G142" s="116"/>
      <c r="H142" s="116"/>
      <c r="I142" s="116"/>
      <c r="J142" s="116"/>
      <c r="K142" s="38"/>
      <c r="L142" s="39"/>
      <c r="M142" s="35"/>
    </row>
    <row r="143" spans="1:13">
      <c r="A143" s="36"/>
      <c r="B143" s="259"/>
      <c r="C143" s="259"/>
      <c r="D143" s="41"/>
      <c r="E143" s="40"/>
      <c r="F143" s="28"/>
      <c r="G143" s="28"/>
      <c r="H143" s="40"/>
      <c r="I143" s="40"/>
      <c r="J143" s="40"/>
      <c r="K143" s="40"/>
      <c r="L143" s="40"/>
      <c r="M143" s="35"/>
    </row>
    <row r="144" spans="1:13">
      <c r="A144" s="36"/>
      <c r="B144" s="36"/>
      <c r="C144" s="28"/>
      <c r="D144" s="28"/>
      <c r="E144" s="42"/>
      <c r="F144" s="28"/>
      <c r="G144" s="28"/>
      <c r="H144" s="42"/>
      <c r="I144" s="42"/>
      <c r="J144" s="42"/>
      <c r="K144" s="42"/>
      <c r="L144" s="42"/>
      <c r="M144" s="35"/>
    </row>
    <row r="145" spans="1:13">
      <c r="A145" s="36"/>
      <c r="B145" s="43"/>
      <c r="C145" s="42"/>
      <c r="D145" s="28"/>
      <c r="E145" s="28"/>
      <c r="F145" s="28"/>
      <c r="G145" s="28"/>
      <c r="H145" s="28"/>
      <c r="I145" s="28"/>
      <c r="J145" s="28"/>
      <c r="K145" s="28"/>
      <c r="L145" s="28"/>
      <c r="M145" s="35"/>
    </row>
    <row r="146" spans="1:13">
      <c r="A146" s="36"/>
      <c r="B146" s="43"/>
      <c r="C146" s="42"/>
      <c r="D146" s="28"/>
      <c r="E146" s="28"/>
      <c r="F146" s="28"/>
      <c r="G146" s="28"/>
      <c r="H146" s="28"/>
      <c r="I146" s="28"/>
      <c r="J146" s="28"/>
      <c r="K146" s="28"/>
      <c r="L146" s="44"/>
      <c r="M146" s="35"/>
    </row>
    <row r="147" spans="1:13">
      <c r="A147" s="36"/>
      <c r="B147" s="43"/>
      <c r="C147" s="42"/>
      <c r="D147" s="28"/>
      <c r="E147" s="28"/>
      <c r="F147" s="28"/>
      <c r="G147" s="28"/>
      <c r="H147" s="28"/>
      <c r="I147" s="28"/>
      <c r="J147" s="28"/>
      <c r="K147" s="28"/>
      <c r="L147" s="28"/>
      <c r="M147" s="35"/>
    </row>
    <row r="148" spans="1:13">
      <c r="A148" s="36"/>
      <c r="B148" s="43"/>
      <c r="C148" s="45"/>
      <c r="D148" s="28"/>
      <c r="E148" s="28"/>
      <c r="F148" s="28"/>
      <c r="G148" s="28"/>
      <c r="H148" s="28"/>
      <c r="I148" s="28"/>
      <c r="J148" s="28"/>
      <c r="K148" s="28"/>
      <c r="L148" s="28"/>
      <c r="M148" s="35"/>
    </row>
    <row r="149" spans="1:13">
      <c r="A149" s="36"/>
      <c r="B149" s="43"/>
      <c r="C149" s="45"/>
      <c r="D149" s="28"/>
      <c r="E149" s="28"/>
      <c r="F149" s="35"/>
      <c r="G149" s="35"/>
      <c r="H149" s="28"/>
      <c r="I149" s="28"/>
      <c r="J149" s="28"/>
      <c r="K149" s="28"/>
      <c r="L149" s="28"/>
      <c r="M149" s="35"/>
    </row>
    <row r="150" spans="1:13">
      <c r="A150" s="36"/>
      <c r="B150" s="35"/>
      <c r="C150" s="35"/>
      <c r="D150" s="28"/>
      <c r="E150" s="28"/>
      <c r="F150" s="35"/>
      <c r="G150" s="35"/>
      <c r="H150" s="28"/>
      <c r="I150" s="28"/>
      <c r="J150" s="28"/>
      <c r="K150" s="28"/>
      <c r="L150" s="28"/>
      <c r="M150" s="35"/>
    </row>
    <row r="151" spans="1:13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</row>
    <row r="152" spans="1:13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1:13">
      <c r="A153" s="35"/>
      <c r="B153" s="35"/>
      <c r="C153" s="35"/>
      <c r="D153" s="35"/>
      <c r="E153" s="35"/>
      <c r="H153" s="35"/>
      <c r="I153" s="35"/>
      <c r="J153" s="35"/>
      <c r="K153" s="35"/>
      <c r="L153" s="35"/>
      <c r="M153" s="35"/>
    </row>
    <row r="154" spans="1:13">
      <c r="A154" s="35"/>
      <c r="D154" s="35"/>
      <c r="E154" s="35"/>
      <c r="H154" s="35"/>
      <c r="I154" s="35"/>
      <c r="J154" s="35"/>
      <c r="K154" s="35"/>
      <c r="L154" s="35"/>
      <c r="M154" s="35"/>
    </row>
  </sheetData>
  <mergeCells count="6">
    <mergeCell ref="J6:J7"/>
    <mergeCell ref="B143:C143"/>
    <mergeCell ref="A6:A7"/>
    <mergeCell ref="B6:B7"/>
    <mergeCell ref="D6:E6"/>
    <mergeCell ref="F6:G6"/>
  </mergeCells>
  <printOptions horizontalCentered="1"/>
  <pageMargins left="0.39370078740157483" right="0.39370078740157483" top="0.78740157480314965" bottom="0.78740157480314965" header="0.31496062992125984" footer="0.31496062992125984"/>
  <pageSetup scale="55" orientation="landscape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4"/>
  <sheetViews>
    <sheetView showGridLines="0" zoomScale="75" zoomScaleNormal="75" workbookViewId="0">
      <selection activeCell="A5" sqref="A5"/>
    </sheetView>
  </sheetViews>
  <sheetFormatPr baseColWidth="10" defaultColWidth="11.42578125" defaultRowHeight="18"/>
  <cols>
    <col min="1" max="1" width="11.7109375" style="5" customWidth="1"/>
    <col min="2" max="2" width="67.7109375" style="5" customWidth="1"/>
    <col min="3" max="3" width="18.7109375" style="5" customWidth="1"/>
    <col min="4" max="7" width="17.7109375" style="5" customWidth="1"/>
    <col min="8" max="8" width="14.7109375" style="5" customWidth="1"/>
    <col min="9" max="9" width="18.7109375" style="5" customWidth="1"/>
    <col min="10" max="11" width="19.7109375" style="5" customWidth="1"/>
    <col min="12" max="12" width="12.7109375" style="5" customWidth="1"/>
    <col min="13" max="13" width="7" style="5" customWidth="1"/>
    <col min="14" max="14" width="19.5703125" style="5" bestFit="1" customWidth="1"/>
    <col min="15" max="16384" width="11.42578125" style="5"/>
  </cols>
  <sheetData>
    <row r="1" spans="1:14">
      <c r="A1" s="97" t="s">
        <v>39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4">
      <c r="A2" s="97" t="s">
        <v>119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4">
      <c r="A3" s="97" t="s">
        <v>164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</row>
    <row r="4" spans="1:14" ht="17.850000000000001" customHeight="1">
      <c r="A4" s="97" t="s">
        <v>0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</row>
    <row r="5" spans="1:14" ht="17.850000000000001" customHeight="1" thickBo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</row>
    <row r="6" spans="1:14" ht="18.75" thickBot="1">
      <c r="A6" s="260" t="s">
        <v>5</v>
      </c>
      <c r="B6" s="262" t="s">
        <v>40</v>
      </c>
      <c r="C6" s="3" t="s">
        <v>1</v>
      </c>
      <c r="D6" s="264" t="s">
        <v>147</v>
      </c>
      <c r="E6" s="264"/>
      <c r="F6" s="264" t="s">
        <v>38</v>
      </c>
      <c r="G6" s="264"/>
      <c r="H6" s="3" t="s">
        <v>42</v>
      </c>
      <c r="I6" s="3" t="s">
        <v>1</v>
      </c>
      <c r="J6" s="257" t="s">
        <v>2</v>
      </c>
      <c r="K6" s="4" t="s">
        <v>29</v>
      </c>
      <c r="L6" s="3" t="s">
        <v>31</v>
      </c>
    </row>
    <row r="7" spans="1:14" ht="18.75" thickBot="1">
      <c r="A7" s="261"/>
      <c r="B7" s="263"/>
      <c r="C7" s="6" t="s">
        <v>3</v>
      </c>
      <c r="D7" s="7" t="s">
        <v>145</v>
      </c>
      <c r="E7" s="7" t="s">
        <v>146</v>
      </c>
      <c r="F7" s="7" t="s">
        <v>145</v>
      </c>
      <c r="G7" s="7" t="s">
        <v>146</v>
      </c>
      <c r="H7" s="6" t="s">
        <v>33</v>
      </c>
      <c r="I7" s="6" t="s">
        <v>4</v>
      </c>
      <c r="J7" s="258"/>
      <c r="K7" s="8" t="s">
        <v>30</v>
      </c>
      <c r="L7" s="9" t="s">
        <v>32</v>
      </c>
    </row>
    <row r="8" spans="1:14">
      <c r="A8" s="69"/>
      <c r="B8" s="71" t="s">
        <v>116</v>
      </c>
      <c r="C8" s="98"/>
      <c r="D8" s="98"/>
      <c r="E8" s="98"/>
      <c r="F8" s="98"/>
      <c r="G8" s="98"/>
      <c r="H8" s="98"/>
      <c r="I8" s="98"/>
      <c r="J8" s="98"/>
      <c r="K8" s="98"/>
      <c r="L8" s="98"/>
    </row>
    <row r="9" spans="1:14">
      <c r="A9" s="60"/>
      <c r="B9" s="70" t="s">
        <v>117</v>
      </c>
      <c r="C9" s="52">
        <v>1077959.21</v>
      </c>
      <c r="D9" s="127"/>
      <c r="E9" s="52"/>
      <c r="F9" s="127"/>
      <c r="G9" s="127"/>
      <c r="H9" s="127"/>
      <c r="I9" s="128">
        <f t="shared" ref="I9:I16" si="0">C9+D9-E9+F9-G9</f>
        <v>1077959.21</v>
      </c>
      <c r="J9" s="133"/>
      <c r="K9" s="122">
        <f t="shared" ref="K9:K16" si="1">I9-J9+H9</f>
        <v>1077959.21</v>
      </c>
      <c r="L9" s="146">
        <f>J9/J18</f>
        <v>0</v>
      </c>
    </row>
    <row r="10" spans="1:14">
      <c r="A10" s="60" t="s">
        <v>27</v>
      </c>
      <c r="B10" s="54" t="s">
        <v>54</v>
      </c>
      <c r="C10" s="52">
        <f>12500+60000+1000</f>
        <v>73500</v>
      </c>
      <c r="D10" s="52"/>
      <c r="E10" s="52"/>
      <c r="F10" s="52"/>
      <c r="G10" s="52"/>
      <c r="H10" s="52"/>
      <c r="I10" s="52">
        <f t="shared" si="0"/>
        <v>73500</v>
      </c>
      <c r="J10" s="52">
        <f>31949+6876</f>
        <v>38825</v>
      </c>
      <c r="K10" s="122">
        <v>0</v>
      </c>
      <c r="L10" s="146">
        <f>J10/J18</f>
        <v>1.8393995585839023E-2</v>
      </c>
      <c r="N10" s="147"/>
    </row>
    <row r="11" spans="1:14">
      <c r="A11" s="148" t="s">
        <v>95</v>
      </c>
      <c r="B11" s="54" t="s">
        <v>96</v>
      </c>
      <c r="C11" s="52">
        <v>4000</v>
      </c>
      <c r="D11" s="52"/>
      <c r="E11" s="52"/>
      <c r="F11" s="52"/>
      <c r="G11" s="52"/>
      <c r="H11" s="52"/>
      <c r="I11" s="52">
        <f t="shared" si="0"/>
        <v>4000</v>
      </c>
      <c r="J11" s="52">
        <f>483.86+203.51</f>
        <v>687.37</v>
      </c>
      <c r="K11" s="122">
        <v>0</v>
      </c>
      <c r="L11" s="146">
        <f>J11/J18</f>
        <v>3.256530778065208E-4</v>
      </c>
      <c r="N11" s="147"/>
    </row>
    <row r="12" spans="1:14">
      <c r="A12" s="60" t="s">
        <v>97</v>
      </c>
      <c r="B12" s="54" t="s">
        <v>133</v>
      </c>
      <c r="C12" s="52">
        <v>3172620</v>
      </c>
      <c r="D12" s="52"/>
      <c r="E12" s="52"/>
      <c r="F12" s="52"/>
      <c r="G12" s="52"/>
      <c r="H12" s="52"/>
      <c r="I12" s="52">
        <f>C12+D12-E12+F12-G12</f>
        <v>3172620</v>
      </c>
      <c r="J12" s="133">
        <f>196856.59+392805.39</f>
        <v>589661.98</v>
      </c>
      <c r="K12" s="122">
        <f t="shared" si="1"/>
        <v>2582958.02</v>
      </c>
      <c r="L12" s="146">
        <f>J12/J18</f>
        <v>0.27936226290423949</v>
      </c>
      <c r="N12" s="149"/>
    </row>
    <row r="13" spans="1:14">
      <c r="A13" s="60" t="s">
        <v>97</v>
      </c>
      <c r="B13" s="54" t="s">
        <v>134</v>
      </c>
      <c r="C13" s="52">
        <v>1828000</v>
      </c>
      <c r="D13" s="52"/>
      <c r="E13" s="52"/>
      <c r="F13" s="52"/>
      <c r="G13" s="52"/>
      <c r="H13" s="52"/>
      <c r="I13" s="52">
        <f t="shared" si="0"/>
        <v>1828000</v>
      </c>
      <c r="J13" s="133">
        <f>965772.37+515796.42</f>
        <v>1481568.79</v>
      </c>
      <c r="K13" s="122">
        <f t="shared" si="1"/>
        <v>346431.20999999996</v>
      </c>
      <c r="L13" s="146">
        <f>J13/J18</f>
        <v>0.70191808843211489</v>
      </c>
    </row>
    <row r="14" spans="1:14">
      <c r="A14" s="60" t="s">
        <v>97</v>
      </c>
      <c r="B14" s="54" t="s">
        <v>99</v>
      </c>
      <c r="C14" s="52">
        <v>20000</v>
      </c>
      <c r="D14" s="52"/>
      <c r="E14" s="52"/>
      <c r="F14" s="52"/>
      <c r="G14" s="52"/>
      <c r="H14" s="52"/>
      <c r="I14" s="52">
        <f>C14+D14-E14+F14-G14</f>
        <v>20000</v>
      </c>
      <c r="J14" s="52">
        <v>0</v>
      </c>
      <c r="K14" s="122">
        <f>I14-J14+H14</f>
        <v>20000</v>
      </c>
      <c r="L14" s="146">
        <v>0</v>
      </c>
    </row>
    <row r="15" spans="1:14">
      <c r="A15" s="60" t="s">
        <v>97</v>
      </c>
      <c r="B15" s="54" t="s">
        <v>144</v>
      </c>
      <c r="C15" s="52">
        <v>0</v>
      </c>
      <c r="D15" s="52"/>
      <c r="E15" s="52"/>
      <c r="F15" s="52"/>
      <c r="G15" s="52"/>
      <c r="H15" s="52"/>
      <c r="I15" s="52">
        <f t="shared" si="0"/>
        <v>0</v>
      </c>
      <c r="J15" s="52">
        <v>0</v>
      </c>
      <c r="K15" s="122">
        <f t="shared" si="1"/>
        <v>0</v>
      </c>
      <c r="L15" s="146">
        <v>0</v>
      </c>
    </row>
    <row r="16" spans="1:14">
      <c r="A16" s="60" t="s">
        <v>97</v>
      </c>
      <c r="B16" s="54" t="s">
        <v>98</v>
      </c>
      <c r="C16" s="52">
        <v>0</v>
      </c>
      <c r="D16" s="52"/>
      <c r="E16" s="52"/>
      <c r="F16" s="52"/>
      <c r="G16" s="52"/>
      <c r="H16" s="52"/>
      <c r="I16" s="52">
        <f t="shared" si="0"/>
        <v>0</v>
      </c>
      <c r="J16" s="52">
        <v>0</v>
      </c>
      <c r="K16" s="122">
        <f t="shared" si="1"/>
        <v>0</v>
      </c>
      <c r="L16" s="146">
        <v>0</v>
      </c>
    </row>
    <row r="17" spans="1:14" ht="18.75" thickBot="1">
      <c r="A17" s="150"/>
      <c r="B17" s="151"/>
      <c r="C17" s="128">
        <v>0</v>
      </c>
      <c r="D17" s="128"/>
      <c r="E17" s="128"/>
      <c r="F17" s="128"/>
      <c r="G17" s="128"/>
      <c r="H17" s="128"/>
      <c r="I17" s="128">
        <f>H17</f>
        <v>0</v>
      </c>
      <c r="J17" s="52">
        <v>0</v>
      </c>
      <c r="K17" s="123">
        <f>-J17+H17</f>
        <v>0</v>
      </c>
      <c r="L17" s="152">
        <f>J17/J18</f>
        <v>0</v>
      </c>
      <c r="N17" s="42"/>
    </row>
    <row r="18" spans="1:14" ht="18.75" customHeight="1" thickBot="1">
      <c r="A18" s="68"/>
      <c r="B18" s="67" t="s">
        <v>6</v>
      </c>
      <c r="C18" s="11">
        <f t="shared" ref="C18:K18" si="2">SUM(C9:C17)</f>
        <v>6176079.21</v>
      </c>
      <c r="D18" s="63">
        <f t="shared" si="2"/>
        <v>0</v>
      </c>
      <c r="E18" s="63">
        <f t="shared" si="2"/>
        <v>0</v>
      </c>
      <c r="F18" s="63">
        <f t="shared" si="2"/>
        <v>0</v>
      </c>
      <c r="G18" s="63">
        <f t="shared" si="2"/>
        <v>0</v>
      </c>
      <c r="H18" s="63">
        <f t="shared" si="2"/>
        <v>0</v>
      </c>
      <c r="I18" s="11">
        <f t="shared" si="2"/>
        <v>6176079.21</v>
      </c>
      <c r="J18" s="11">
        <f t="shared" si="2"/>
        <v>2110743.14</v>
      </c>
      <c r="K18" s="11">
        <f t="shared" si="2"/>
        <v>4027348.44</v>
      </c>
      <c r="L18" s="12">
        <f>SUM(L17:L17)</f>
        <v>0</v>
      </c>
    </row>
    <row r="19" spans="1:14">
      <c r="A19" s="141" t="s">
        <v>5</v>
      </c>
      <c r="B19" s="142" t="s">
        <v>115</v>
      </c>
      <c r="C19" s="157"/>
      <c r="D19" s="157"/>
      <c r="E19" s="98"/>
      <c r="F19" s="98"/>
      <c r="G19" s="98"/>
      <c r="H19" s="98"/>
      <c r="I19" s="98"/>
      <c r="J19" s="99"/>
      <c r="K19" s="98"/>
      <c r="L19" s="98"/>
    </row>
    <row r="20" spans="1:14">
      <c r="A20" s="158">
        <v>0</v>
      </c>
      <c r="B20" s="59" t="s">
        <v>9</v>
      </c>
      <c r="C20" s="76"/>
      <c r="D20" s="100"/>
      <c r="E20" s="100"/>
      <c r="F20" s="100"/>
      <c r="G20" s="100"/>
      <c r="H20" s="100"/>
      <c r="I20" s="100"/>
      <c r="J20" s="100"/>
      <c r="K20" s="124"/>
      <c r="L20" s="132"/>
    </row>
    <row r="21" spans="1:14">
      <c r="A21" s="53" t="s">
        <v>14</v>
      </c>
      <c r="B21" s="54" t="s">
        <v>84</v>
      </c>
      <c r="C21" s="76">
        <v>574724</v>
      </c>
      <c r="D21" s="76"/>
      <c r="E21" s="76"/>
      <c r="F21" s="76"/>
      <c r="G21" s="76"/>
      <c r="H21" s="76"/>
      <c r="I21" s="52">
        <f t="shared" ref="I21:I99" si="3">C21+D21-E21+F21-G21</f>
        <v>574724</v>
      </c>
      <c r="J21" s="76">
        <v>164390.90999999997</v>
      </c>
      <c r="K21" s="122">
        <f t="shared" ref="K21:K84" si="4">I21-J21</f>
        <v>410333.09</v>
      </c>
      <c r="L21" s="132">
        <f t="shared" ref="L21:L32" si="5">J21/$J$108</f>
        <v>8.1582084988935794E-2</v>
      </c>
      <c r="N21" s="149"/>
    </row>
    <row r="22" spans="1:14">
      <c r="A22" s="53" t="s">
        <v>34</v>
      </c>
      <c r="B22" s="54" t="s">
        <v>35</v>
      </c>
      <c r="C22" s="76">
        <v>4500</v>
      </c>
      <c r="D22" s="76"/>
      <c r="E22" s="76"/>
      <c r="F22" s="76"/>
      <c r="G22" s="76"/>
      <c r="H22" s="76"/>
      <c r="I22" s="52">
        <f t="shared" si="3"/>
        <v>4500</v>
      </c>
      <c r="J22" s="76">
        <v>1500</v>
      </c>
      <c r="K22" s="122">
        <f t="shared" si="4"/>
        <v>3000</v>
      </c>
      <c r="L22" s="132">
        <f t="shared" si="5"/>
        <v>7.4440324883780803E-4</v>
      </c>
      <c r="N22" s="149"/>
    </row>
    <row r="23" spans="1:14">
      <c r="A23" s="53" t="s">
        <v>15</v>
      </c>
      <c r="B23" s="54" t="s">
        <v>43</v>
      </c>
      <c r="C23" s="76">
        <v>62500</v>
      </c>
      <c r="D23" s="76">
        <v>36000</v>
      </c>
      <c r="E23" s="76"/>
      <c r="F23" s="76"/>
      <c r="G23" s="76"/>
      <c r="H23" s="76"/>
      <c r="I23" s="52">
        <f t="shared" si="3"/>
        <v>98500</v>
      </c>
      <c r="J23" s="76">
        <v>19166.669999999998</v>
      </c>
      <c r="K23" s="122">
        <f t="shared" si="4"/>
        <v>79333.33</v>
      </c>
      <c r="L23" s="132">
        <f t="shared" si="5"/>
        <v>9.5118209449347665E-3</v>
      </c>
      <c r="N23" s="149"/>
    </row>
    <row r="24" spans="1:14">
      <c r="A24" s="53" t="s">
        <v>135</v>
      </c>
      <c r="B24" s="54" t="s">
        <v>136</v>
      </c>
      <c r="C24" s="76">
        <v>357550</v>
      </c>
      <c r="D24" s="76"/>
      <c r="E24" s="76">
        <v>357550</v>
      </c>
      <c r="F24" s="76"/>
      <c r="G24" s="76"/>
      <c r="H24" s="76"/>
      <c r="I24" s="52">
        <f t="shared" si="3"/>
        <v>0</v>
      </c>
      <c r="J24" s="76">
        <v>0</v>
      </c>
      <c r="K24" s="122">
        <f t="shared" si="4"/>
        <v>0</v>
      </c>
      <c r="L24" s="132">
        <f t="shared" si="5"/>
        <v>0</v>
      </c>
      <c r="N24" s="149"/>
    </row>
    <row r="25" spans="1:14">
      <c r="A25" s="53" t="s">
        <v>137</v>
      </c>
      <c r="B25" s="54" t="s">
        <v>138</v>
      </c>
      <c r="C25" s="76">
        <v>5750</v>
      </c>
      <c r="D25" s="76"/>
      <c r="E25" s="76"/>
      <c r="F25" s="76"/>
      <c r="G25" s="76"/>
      <c r="H25" s="76"/>
      <c r="I25" s="52">
        <f t="shared" si="3"/>
        <v>5750</v>
      </c>
      <c r="J25" s="76">
        <v>0</v>
      </c>
      <c r="K25" s="122">
        <f t="shared" si="4"/>
        <v>5750</v>
      </c>
      <c r="L25" s="132">
        <f t="shared" si="5"/>
        <v>0</v>
      </c>
      <c r="N25" s="149"/>
    </row>
    <row r="26" spans="1:14">
      <c r="A26" s="53" t="s">
        <v>100</v>
      </c>
      <c r="B26" s="54" t="s">
        <v>101</v>
      </c>
      <c r="C26" s="76">
        <v>15400</v>
      </c>
      <c r="D26" s="76"/>
      <c r="E26" s="76"/>
      <c r="F26" s="76"/>
      <c r="G26" s="76"/>
      <c r="H26" s="76"/>
      <c r="I26" s="52">
        <f>C26+D26-E26+F26-G26</f>
        <v>15400</v>
      </c>
      <c r="J26" s="76">
        <v>0</v>
      </c>
      <c r="K26" s="122">
        <f t="shared" si="4"/>
        <v>15400</v>
      </c>
      <c r="L26" s="132">
        <f t="shared" si="5"/>
        <v>0</v>
      </c>
      <c r="N26" s="149"/>
    </row>
    <row r="27" spans="1:14">
      <c r="A27" s="53" t="s">
        <v>21</v>
      </c>
      <c r="B27" s="54" t="s">
        <v>22</v>
      </c>
      <c r="C27" s="76">
        <v>37627.240000000005</v>
      </c>
      <c r="D27" s="76"/>
      <c r="E27" s="76"/>
      <c r="F27" s="76"/>
      <c r="G27" s="76"/>
      <c r="H27" s="76"/>
      <c r="I27" s="52">
        <f t="shared" si="3"/>
        <v>37627.240000000005</v>
      </c>
      <c r="J27" s="76">
        <v>5300.2400000000007</v>
      </c>
      <c r="K27" s="122">
        <f t="shared" si="4"/>
        <v>32327.000000000004</v>
      </c>
      <c r="L27" s="132">
        <f t="shared" si="5"/>
        <v>2.6303439170800697E-3</v>
      </c>
      <c r="N27" s="149"/>
    </row>
    <row r="28" spans="1:14">
      <c r="A28" s="53" t="s">
        <v>16</v>
      </c>
      <c r="B28" s="54" t="s">
        <v>125</v>
      </c>
      <c r="C28" s="76">
        <v>111250.887308</v>
      </c>
      <c r="D28" s="76"/>
      <c r="E28" s="76"/>
      <c r="F28" s="76"/>
      <c r="G28" s="76"/>
      <c r="H28" s="52"/>
      <c r="I28" s="52">
        <f t="shared" si="3"/>
        <v>111250.887308</v>
      </c>
      <c r="J28" s="76">
        <v>13655.25</v>
      </c>
      <c r="K28" s="122">
        <f t="shared" si="4"/>
        <v>97595.637308000005</v>
      </c>
      <c r="L28" s="132">
        <f t="shared" si="5"/>
        <v>6.7766749757949855E-3</v>
      </c>
      <c r="N28" s="149"/>
    </row>
    <row r="29" spans="1:14">
      <c r="A29" s="53" t="s">
        <v>17</v>
      </c>
      <c r="B29" s="54" t="s">
        <v>126</v>
      </c>
      <c r="C29" s="76">
        <v>10426.5124</v>
      </c>
      <c r="D29" s="76"/>
      <c r="E29" s="76"/>
      <c r="F29" s="76"/>
      <c r="G29" s="76"/>
      <c r="H29" s="76"/>
      <c r="I29" s="52">
        <f t="shared" si="3"/>
        <v>10426.5124</v>
      </c>
      <c r="J29" s="76">
        <v>1279.79</v>
      </c>
      <c r="K29" s="122">
        <f t="shared" si="4"/>
        <v>9146.7223999999987</v>
      </c>
      <c r="L29" s="132">
        <f t="shared" si="5"/>
        <v>6.3511988922009227E-4</v>
      </c>
      <c r="N29" s="149"/>
    </row>
    <row r="30" spans="1:14">
      <c r="A30" s="53" t="s">
        <v>18</v>
      </c>
      <c r="B30" s="55" t="s">
        <v>82</v>
      </c>
      <c r="C30" s="76">
        <v>78272.833333333328</v>
      </c>
      <c r="D30" s="76"/>
      <c r="E30" s="76"/>
      <c r="F30" s="76"/>
      <c r="G30" s="76"/>
      <c r="H30" s="76"/>
      <c r="I30" s="52">
        <f t="shared" si="3"/>
        <v>78272.833333333328</v>
      </c>
      <c r="J30" s="76">
        <v>0</v>
      </c>
      <c r="K30" s="122">
        <f t="shared" si="4"/>
        <v>78272.833333333328</v>
      </c>
      <c r="L30" s="132">
        <f t="shared" si="5"/>
        <v>0</v>
      </c>
      <c r="N30" s="149"/>
    </row>
    <row r="31" spans="1:14">
      <c r="A31" s="53" t="s">
        <v>19</v>
      </c>
      <c r="B31" s="54" t="s">
        <v>85</v>
      </c>
      <c r="C31" s="76">
        <v>78272.833333333328</v>
      </c>
      <c r="D31" s="76"/>
      <c r="E31" s="76"/>
      <c r="F31" s="76"/>
      <c r="G31" s="76"/>
      <c r="H31" s="76"/>
      <c r="I31" s="52">
        <f t="shared" si="3"/>
        <v>78272.833333333328</v>
      </c>
      <c r="J31" s="76">
        <v>0</v>
      </c>
      <c r="K31" s="122">
        <f t="shared" si="4"/>
        <v>78272.833333333328</v>
      </c>
      <c r="L31" s="132">
        <f t="shared" si="5"/>
        <v>0</v>
      </c>
      <c r="N31" s="149"/>
    </row>
    <row r="32" spans="1:14">
      <c r="A32" s="53" t="s">
        <v>20</v>
      </c>
      <c r="B32" s="54" t="s">
        <v>83</v>
      </c>
      <c r="C32" s="76">
        <v>4800</v>
      </c>
      <c r="D32" s="76"/>
      <c r="E32" s="76"/>
      <c r="F32" s="76"/>
      <c r="G32" s="76"/>
      <c r="H32" s="76"/>
      <c r="I32" s="52">
        <f t="shared" si="3"/>
        <v>4800</v>
      </c>
      <c r="J32" s="76">
        <v>0</v>
      </c>
      <c r="K32" s="122">
        <f t="shared" si="4"/>
        <v>4800</v>
      </c>
      <c r="L32" s="132">
        <f t="shared" si="5"/>
        <v>0</v>
      </c>
      <c r="N32" s="149"/>
    </row>
    <row r="33" spans="1:14">
      <c r="A33" s="59">
        <v>1</v>
      </c>
      <c r="B33" s="59" t="s">
        <v>10</v>
      </c>
      <c r="C33" s="76"/>
      <c r="D33" s="76"/>
      <c r="E33" s="76"/>
      <c r="F33" s="76"/>
      <c r="G33" s="76"/>
      <c r="H33" s="76"/>
      <c r="I33" s="52"/>
      <c r="J33" s="105"/>
      <c r="K33" s="122"/>
      <c r="L33" s="132"/>
      <c r="N33" s="149"/>
    </row>
    <row r="34" spans="1:14">
      <c r="A34" s="60">
        <v>111</v>
      </c>
      <c r="B34" s="54" t="s">
        <v>44</v>
      </c>
      <c r="C34" s="76">
        <v>13125</v>
      </c>
      <c r="D34" s="76"/>
      <c r="E34" s="76"/>
      <c r="F34" s="76"/>
      <c r="G34" s="76"/>
      <c r="H34" s="76"/>
      <c r="I34" s="52">
        <f t="shared" si="3"/>
        <v>13125</v>
      </c>
      <c r="J34" s="76">
        <v>2405.0299999999997</v>
      </c>
      <c r="K34" s="122">
        <f t="shared" si="4"/>
        <v>10719.970000000001</v>
      </c>
      <c r="L34" s="132">
        <f t="shared" ref="L34:L93" si="6">J34/$J$108</f>
        <v>1.1935414303682623E-3</v>
      </c>
      <c r="N34" s="149"/>
    </row>
    <row r="35" spans="1:14">
      <c r="A35" s="60">
        <v>113</v>
      </c>
      <c r="B35" s="54" t="s">
        <v>53</v>
      </c>
      <c r="C35" s="76">
        <v>24780</v>
      </c>
      <c r="D35" s="76"/>
      <c r="E35" s="76"/>
      <c r="F35" s="76"/>
      <c r="G35" s="76"/>
      <c r="H35" s="76"/>
      <c r="I35" s="52">
        <f t="shared" si="3"/>
        <v>24780</v>
      </c>
      <c r="J35" s="76">
        <v>9255</v>
      </c>
      <c r="K35" s="122">
        <f t="shared" si="4"/>
        <v>15525</v>
      </c>
      <c r="L35" s="132">
        <f t="shared" si="6"/>
        <v>4.5929680453292761E-3</v>
      </c>
      <c r="N35" s="149"/>
    </row>
    <row r="36" spans="1:14">
      <c r="A36" s="60">
        <v>114</v>
      </c>
      <c r="B36" s="54" t="s">
        <v>124</v>
      </c>
      <c r="C36" s="76">
        <v>5000</v>
      </c>
      <c r="D36" s="76"/>
      <c r="E36" s="76"/>
      <c r="F36" s="76"/>
      <c r="G36" s="76"/>
      <c r="H36" s="76"/>
      <c r="I36" s="52">
        <f t="shared" si="3"/>
        <v>5000</v>
      </c>
      <c r="J36" s="76">
        <v>20</v>
      </c>
      <c r="K36" s="122">
        <f t="shared" si="4"/>
        <v>4980</v>
      </c>
      <c r="L36" s="132">
        <f t="shared" si="6"/>
        <v>9.9253766511707737E-6</v>
      </c>
      <c r="N36" s="149"/>
    </row>
    <row r="37" spans="1:14">
      <c r="A37" s="60">
        <v>121</v>
      </c>
      <c r="B37" s="54" t="s">
        <v>55</v>
      </c>
      <c r="C37" s="76">
        <v>20000</v>
      </c>
      <c r="D37" s="76">
        <v>30000</v>
      </c>
      <c r="E37" s="76"/>
      <c r="F37" s="76"/>
      <c r="G37" s="76"/>
      <c r="H37" s="76"/>
      <c r="I37" s="52">
        <f t="shared" si="3"/>
        <v>50000</v>
      </c>
      <c r="J37" s="76">
        <v>22339</v>
      </c>
      <c r="K37" s="122">
        <f t="shared" si="4"/>
        <v>27661</v>
      </c>
      <c r="L37" s="132">
        <f t="shared" si="6"/>
        <v>1.1086149450525197E-2</v>
      </c>
      <c r="N37" s="149"/>
    </row>
    <row r="38" spans="1:14">
      <c r="A38" s="60">
        <v>122</v>
      </c>
      <c r="B38" s="54" t="s">
        <v>86</v>
      </c>
      <c r="C38" s="76">
        <v>17950</v>
      </c>
      <c r="D38" s="76">
        <v>10000</v>
      </c>
      <c r="E38" s="76"/>
      <c r="F38" s="76"/>
      <c r="G38" s="76"/>
      <c r="H38" s="76"/>
      <c r="I38" s="52">
        <f t="shared" si="3"/>
        <v>27950</v>
      </c>
      <c r="J38" s="76">
        <v>2497.25</v>
      </c>
      <c r="K38" s="122">
        <f t="shared" si="4"/>
        <v>25452.75</v>
      </c>
      <c r="L38" s="132">
        <f t="shared" si="6"/>
        <v>1.2393073421068108E-3</v>
      </c>
      <c r="M38" s="159"/>
      <c r="N38" s="149"/>
    </row>
    <row r="39" spans="1:14">
      <c r="A39" s="60">
        <v>131</v>
      </c>
      <c r="B39" s="54" t="s">
        <v>56</v>
      </c>
      <c r="C39" s="76">
        <v>1102000</v>
      </c>
      <c r="D39" s="76">
        <v>375000</v>
      </c>
      <c r="E39" s="76"/>
      <c r="F39" s="76"/>
      <c r="G39" s="76"/>
      <c r="H39" s="76"/>
      <c r="I39" s="52">
        <f t="shared" si="3"/>
        <v>1477000</v>
      </c>
      <c r="J39" s="76">
        <v>1143088.3900000001</v>
      </c>
      <c r="K39" s="122">
        <f t="shared" si="4"/>
        <v>333911.60999999987</v>
      </c>
      <c r="L39" s="132">
        <f t="shared" si="6"/>
        <v>0.56727914081651964</v>
      </c>
      <c r="N39" s="149"/>
    </row>
    <row r="40" spans="1:14">
      <c r="A40" s="60">
        <v>133</v>
      </c>
      <c r="B40" s="54" t="s">
        <v>57</v>
      </c>
      <c r="C40" s="76">
        <v>4546.67</v>
      </c>
      <c r="D40" s="76"/>
      <c r="E40" s="76"/>
      <c r="F40" s="76"/>
      <c r="G40" s="76"/>
      <c r="H40" s="76"/>
      <c r="I40" s="52">
        <f t="shared" si="3"/>
        <v>4546.67</v>
      </c>
      <c r="J40" s="76">
        <v>0</v>
      </c>
      <c r="K40" s="122">
        <f t="shared" si="4"/>
        <v>4546.67</v>
      </c>
      <c r="L40" s="132">
        <f t="shared" si="6"/>
        <v>0</v>
      </c>
      <c r="N40" s="149"/>
    </row>
    <row r="41" spans="1:14">
      <c r="A41" s="60">
        <v>134</v>
      </c>
      <c r="B41" s="54" t="s">
        <v>87</v>
      </c>
      <c r="C41" s="76">
        <v>0</v>
      </c>
      <c r="D41" s="76"/>
      <c r="E41" s="76"/>
      <c r="F41" s="76"/>
      <c r="G41" s="76"/>
      <c r="H41" s="76"/>
      <c r="I41" s="52">
        <f t="shared" si="3"/>
        <v>0</v>
      </c>
      <c r="J41" s="76">
        <v>0</v>
      </c>
      <c r="K41" s="122">
        <f t="shared" si="4"/>
        <v>0</v>
      </c>
      <c r="L41" s="132">
        <f t="shared" si="6"/>
        <v>0</v>
      </c>
      <c r="N41" s="149"/>
    </row>
    <row r="42" spans="1:14">
      <c r="A42" s="60">
        <v>135</v>
      </c>
      <c r="B42" s="54" t="s">
        <v>102</v>
      </c>
      <c r="C42" s="76">
        <v>124000</v>
      </c>
      <c r="D42" s="76"/>
      <c r="E42" s="76"/>
      <c r="F42" s="76"/>
      <c r="G42" s="76"/>
      <c r="H42" s="76"/>
      <c r="I42" s="52">
        <f>C42+D42-E42+F42-G42</f>
        <v>124000</v>
      </c>
      <c r="J42" s="76">
        <v>85367.23</v>
      </c>
      <c r="K42" s="122">
        <f t="shared" si="4"/>
        <v>38632.770000000004</v>
      </c>
      <c r="L42" s="132">
        <f t="shared" si="6"/>
        <v>4.2365095570856263E-2</v>
      </c>
      <c r="N42" s="149"/>
    </row>
    <row r="43" spans="1:14">
      <c r="A43" s="60">
        <v>141</v>
      </c>
      <c r="B43" s="54" t="s">
        <v>76</v>
      </c>
      <c r="C43" s="76">
        <v>374045.69</v>
      </c>
      <c r="D43" s="76">
        <v>77000</v>
      </c>
      <c r="E43" s="76"/>
      <c r="F43" s="76"/>
      <c r="G43" s="76"/>
      <c r="H43" s="76"/>
      <c r="I43" s="52">
        <f t="shared" si="3"/>
        <v>451045.69</v>
      </c>
      <c r="J43" s="76">
        <v>292480.74</v>
      </c>
      <c r="K43" s="122">
        <f t="shared" si="4"/>
        <v>158564.95000000001</v>
      </c>
      <c r="L43" s="132">
        <f t="shared" si="6"/>
        <v>0.14514907538565749</v>
      </c>
      <c r="N43" s="149"/>
    </row>
    <row r="44" spans="1:14">
      <c r="A44" s="60">
        <v>142</v>
      </c>
      <c r="B44" s="54" t="s">
        <v>23</v>
      </c>
      <c r="C44" s="76">
        <v>32600</v>
      </c>
      <c r="D44" s="76"/>
      <c r="E44" s="76"/>
      <c r="F44" s="76"/>
      <c r="G44" s="76"/>
      <c r="H44" s="76"/>
      <c r="I44" s="52">
        <f t="shared" si="3"/>
        <v>32600</v>
      </c>
      <c r="J44" s="76">
        <v>0</v>
      </c>
      <c r="K44" s="122">
        <f t="shared" si="4"/>
        <v>32600</v>
      </c>
      <c r="L44" s="132">
        <f t="shared" si="6"/>
        <v>0</v>
      </c>
      <c r="N44" s="149"/>
    </row>
    <row r="45" spans="1:14">
      <c r="A45" s="60">
        <v>143</v>
      </c>
      <c r="B45" s="54" t="s">
        <v>127</v>
      </c>
      <c r="C45" s="76">
        <v>37071.31</v>
      </c>
      <c r="D45" s="76"/>
      <c r="E45" s="76"/>
      <c r="F45" s="76"/>
      <c r="G45" s="76"/>
      <c r="H45" s="76"/>
      <c r="I45" s="52">
        <f t="shared" si="3"/>
        <v>37071.31</v>
      </c>
      <c r="J45" s="76">
        <v>0</v>
      </c>
      <c r="K45" s="122">
        <f t="shared" si="4"/>
        <v>37071.31</v>
      </c>
      <c r="L45" s="132">
        <f t="shared" si="6"/>
        <v>0</v>
      </c>
      <c r="N45" s="149"/>
    </row>
    <row r="46" spans="1:14">
      <c r="A46" s="60">
        <v>151</v>
      </c>
      <c r="B46" s="54" t="s">
        <v>139</v>
      </c>
      <c r="C46" s="76">
        <v>70560</v>
      </c>
      <c r="D46" s="76"/>
      <c r="E46" s="76"/>
      <c r="F46" s="76"/>
      <c r="G46" s="76"/>
      <c r="H46" s="76"/>
      <c r="I46" s="52">
        <f t="shared" si="3"/>
        <v>70560</v>
      </c>
      <c r="J46" s="76">
        <v>23257.5</v>
      </c>
      <c r="K46" s="122">
        <f t="shared" si="4"/>
        <v>47302.5</v>
      </c>
      <c r="L46" s="132">
        <f t="shared" si="6"/>
        <v>1.1541972373230215E-2</v>
      </c>
      <c r="N46" s="149"/>
    </row>
    <row r="47" spans="1:14">
      <c r="A47" s="60">
        <v>155</v>
      </c>
      <c r="B47" s="54" t="s">
        <v>36</v>
      </c>
      <c r="C47" s="76">
        <v>0</v>
      </c>
      <c r="D47" s="76"/>
      <c r="E47" s="76"/>
      <c r="F47" s="76"/>
      <c r="G47" s="76"/>
      <c r="H47" s="76"/>
      <c r="I47" s="52">
        <f t="shared" si="3"/>
        <v>0</v>
      </c>
      <c r="J47" s="76">
        <v>0</v>
      </c>
      <c r="K47" s="122">
        <f t="shared" si="4"/>
        <v>0</v>
      </c>
      <c r="L47" s="132">
        <f t="shared" si="6"/>
        <v>0</v>
      </c>
      <c r="N47" s="149"/>
    </row>
    <row r="48" spans="1:14">
      <c r="A48" s="60">
        <v>158</v>
      </c>
      <c r="B48" s="54" t="s">
        <v>103</v>
      </c>
      <c r="C48" s="76">
        <v>4000</v>
      </c>
      <c r="D48" s="76">
        <v>2550</v>
      </c>
      <c r="E48" s="76"/>
      <c r="F48" s="76"/>
      <c r="G48" s="76"/>
      <c r="H48" s="76"/>
      <c r="I48" s="52">
        <f>C48+D48-E48+F48-G48</f>
        <v>6550</v>
      </c>
      <c r="J48" s="76">
        <v>1110</v>
      </c>
      <c r="K48" s="122">
        <f t="shared" si="4"/>
        <v>5440</v>
      </c>
      <c r="L48" s="132">
        <f t="shared" si="6"/>
        <v>5.5085840413997798E-4</v>
      </c>
      <c r="N48" s="149"/>
    </row>
    <row r="49" spans="1:14">
      <c r="A49" s="60">
        <v>162</v>
      </c>
      <c r="B49" s="54" t="s">
        <v>58</v>
      </c>
      <c r="C49" s="76">
        <v>1350</v>
      </c>
      <c r="D49" s="76"/>
      <c r="E49" s="76"/>
      <c r="F49" s="76"/>
      <c r="G49" s="76"/>
      <c r="H49" s="76"/>
      <c r="I49" s="52">
        <f t="shared" si="3"/>
        <v>1350</v>
      </c>
      <c r="J49" s="76">
        <v>0</v>
      </c>
      <c r="K49" s="122">
        <f t="shared" si="4"/>
        <v>1350</v>
      </c>
      <c r="L49" s="132">
        <f t="shared" si="6"/>
        <v>0</v>
      </c>
      <c r="N49" s="149"/>
    </row>
    <row r="50" spans="1:14">
      <c r="A50" s="60">
        <v>164</v>
      </c>
      <c r="B50" s="54" t="s">
        <v>45</v>
      </c>
      <c r="C50" s="76">
        <v>12500</v>
      </c>
      <c r="D50" s="76"/>
      <c r="E50" s="76"/>
      <c r="F50" s="76"/>
      <c r="G50" s="76"/>
      <c r="H50" s="76"/>
      <c r="I50" s="52">
        <f t="shared" si="3"/>
        <v>12500</v>
      </c>
      <c r="J50" s="76">
        <v>5250</v>
      </c>
      <c r="K50" s="122">
        <f t="shared" si="4"/>
        <v>7250</v>
      </c>
      <c r="L50" s="132">
        <f t="shared" si="6"/>
        <v>2.6054113709323284E-3</v>
      </c>
      <c r="N50" s="149"/>
    </row>
    <row r="51" spans="1:14">
      <c r="A51" s="60">
        <v>165</v>
      </c>
      <c r="B51" s="54" t="s">
        <v>104</v>
      </c>
      <c r="C51" s="76">
        <v>6900</v>
      </c>
      <c r="D51" s="76"/>
      <c r="E51" s="76"/>
      <c r="F51" s="76"/>
      <c r="G51" s="76"/>
      <c r="H51" s="76"/>
      <c r="I51" s="52">
        <f>C51+D51-E51+F51-G51</f>
        <v>6900</v>
      </c>
      <c r="J51" s="76">
        <v>612.44000000000005</v>
      </c>
      <c r="K51" s="122">
        <f t="shared" si="4"/>
        <v>6287.5599999999995</v>
      </c>
      <c r="L51" s="132">
        <f t="shared" si="6"/>
        <v>3.0393488381215146E-4</v>
      </c>
      <c r="N51" s="149"/>
    </row>
    <row r="52" spans="1:14">
      <c r="A52" s="60">
        <v>168</v>
      </c>
      <c r="B52" s="54" t="s">
        <v>59</v>
      </c>
      <c r="C52" s="76">
        <v>5500</v>
      </c>
      <c r="D52" s="76"/>
      <c r="E52" s="76"/>
      <c r="F52" s="76"/>
      <c r="G52" s="76"/>
      <c r="H52" s="76"/>
      <c r="I52" s="52">
        <f t="shared" si="3"/>
        <v>5500</v>
      </c>
      <c r="J52" s="76">
        <v>1240</v>
      </c>
      <c r="K52" s="122">
        <f t="shared" si="4"/>
        <v>4260</v>
      </c>
      <c r="L52" s="132">
        <f t="shared" si="6"/>
        <v>6.1537335237258804E-4</v>
      </c>
      <c r="N52" s="149"/>
    </row>
    <row r="53" spans="1:14">
      <c r="A53" s="60">
        <v>174</v>
      </c>
      <c r="B53" s="54" t="s">
        <v>46</v>
      </c>
      <c r="C53" s="76">
        <v>5000</v>
      </c>
      <c r="D53" s="76"/>
      <c r="E53" s="76"/>
      <c r="F53" s="76"/>
      <c r="G53" s="76"/>
      <c r="H53" s="76"/>
      <c r="I53" s="52">
        <f t="shared" si="3"/>
        <v>5000</v>
      </c>
      <c r="J53" s="76">
        <v>140</v>
      </c>
      <c r="K53" s="122">
        <f t="shared" si="4"/>
        <v>4860</v>
      </c>
      <c r="L53" s="132">
        <f t="shared" si="6"/>
        <v>6.9477636558195423E-5</v>
      </c>
      <c r="N53" s="149"/>
    </row>
    <row r="54" spans="1:14">
      <c r="A54" s="60">
        <v>182</v>
      </c>
      <c r="B54" s="54" t="s">
        <v>61</v>
      </c>
      <c r="C54" s="76">
        <v>0</v>
      </c>
      <c r="D54" s="76"/>
      <c r="E54" s="76"/>
      <c r="F54" s="76"/>
      <c r="G54" s="76"/>
      <c r="H54" s="76"/>
      <c r="I54" s="52">
        <f t="shared" si="3"/>
        <v>0</v>
      </c>
      <c r="J54" s="76">
        <v>0</v>
      </c>
      <c r="K54" s="122">
        <f t="shared" si="4"/>
        <v>0</v>
      </c>
      <c r="L54" s="132">
        <f t="shared" si="6"/>
        <v>0</v>
      </c>
      <c r="N54" s="149"/>
    </row>
    <row r="55" spans="1:14">
      <c r="A55" s="60">
        <v>183</v>
      </c>
      <c r="B55" s="54" t="s">
        <v>105</v>
      </c>
      <c r="C55" s="76">
        <v>160000</v>
      </c>
      <c r="D55" s="76"/>
      <c r="E55" s="76"/>
      <c r="F55" s="76"/>
      <c r="G55" s="76"/>
      <c r="H55" s="76"/>
      <c r="I55" s="52">
        <f>C55+D55-E55+F55-G55</f>
        <v>160000</v>
      </c>
      <c r="J55" s="76">
        <v>21005</v>
      </c>
      <c r="K55" s="122">
        <f t="shared" si="4"/>
        <v>138995</v>
      </c>
      <c r="L55" s="132">
        <f t="shared" si="6"/>
        <v>1.0424126827892106E-2</v>
      </c>
      <c r="N55" s="149"/>
    </row>
    <row r="56" spans="1:14">
      <c r="A56" s="60">
        <v>184</v>
      </c>
      <c r="B56" s="54" t="s">
        <v>106</v>
      </c>
      <c r="C56" s="76">
        <v>42000</v>
      </c>
      <c r="D56" s="76"/>
      <c r="E56" s="76"/>
      <c r="F56" s="76"/>
      <c r="G56" s="76"/>
      <c r="H56" s="76"/>
      <c r="I56" s="52">
        <f t="shared" si="3"/>
        <v>42000</v>
      </c>
      <c r="J56" s="76">
        <v>11865.47</v>
      </c>
      <c r="K56" s="122">
        <f t="shared" si="4"/>
        <v>30134.53</v>
      </c>
      <c r="L56" s="132">
        <f t="shared" si="6"/>
        <v>5.8884629446583642E-3</v>
      </c>
      <c r="N56" s="149"/>
    </row>
    <row r="57" spans="1:14">
      <c r="A57" s="60">
        <v>185</v>
      </c>
      <c r="B57" s="54" t="s">
        <v>107</v>
      </c>
      <c r="C57" s="76">
        <v>69000</v>
      </c>
      <c r="D57" s="76"/>
      <c r="E57" s="76"/>
      <c r="F57" s="76"/>
      <c r="G57" s="76"/>
      <c r="H57" s="76"/>
      <c r="I57" s="52">
        <f>C57+D57-E57+F57-G57</f>
        <v>69000</v>
      </c>
      <c r="J57" s="76">
        <v>0</v>
      </c>
      <c r="K57" s="122">
        <f t="shared" si="4"/>
        <v>69000</v>
      </c>
      <c r="L57" s="132">
        <f t="shared" si="6"/>
        <v>0</v>
      </c>
      <c r="N57" s="149"/>
    </row>
    <row r="58" spans="1:14">
      <c r="A58" s="60">
        <v>186</v>
      </c>
      <c r="B58" s="54" t="s">
        <v>47</v>
      </c>
      <c r="C58" s="76">
        <v>2000</v>
      </c>
      <c r="D58" s="76"/>
      <c r="E58" s="76"/>
      <c r="F58" s="76"/>
      <c r="G58" s="76"/>
      <c r="H58" s="76"/>
      <c r="I58" s="52">
        <f t="shared" si="3"/>
        <v>2000</v>
      </c>
      <c r="J58" s="76">
        <v>760</v>
      </c>
      <c r="K58" s="122">
        <f t="shared" si="4"/>
        <v>1240</v>
      </c>
      <c r="L58" s="132">
        <f t="shared" si="6"/>
        <v>3.7716431274448941E-4</v>
      </c>
      <c r="N58" s="149"/>
    </row>
    <row r="59" spans="1:14">
      <c r="A59" s="60">
        <v>187</v>
      </c>
      <c r="B59" s="54" t="s">
        <v>108</v>
      </c>
      <c r="C59" s="76">
        <v>51600</v>
      </c>
      <c r="D59" s="76"/>
      <c r="E59" s="76"/>
      <c r="F59" s="76"/>
      <c r="G59" s="76"/>
      <c r="H59" s="76"/>
      <c r="I59" s="52">
        <f>C59+D59-E59+F59-G59</f>
        <v>51600</v>
      </c>
      <c r="J59" s="76">
        <v>1600</v>
      </c>
      <c r="K59" s="122">
        <f t="shared" si="4"/>
        <v>50000</v>
      </c>
      <c r="L59" s="132">
        <f t="shared" si="6"/>
        <v>7.94030132093662E-4</v>
      </c>
      <c r="N59" s="149"/>
    </row>
    <row r="60" spans="1:14">
      <c r="A60" s="60">
        <v>188</v>
      </c>
      <c r="B60" s="54" t="s">
        <v>109</v>
      </c>
      <c r="C60" s="76">
        <v>0</v>
      </c>
      <c r="D60" s="76"/>
      <c r="E60" s="76"/>
      <c r="F60" s="76"/>
      <c r="G60" s="76"/>
      <c r="H60" s="76"/>
      <c r="I60" s="52">
        <f t="shared" si="3"/>
        <v>0</v>
      </c>
      <c r="J60" s="76">
        <v>0</v>
      </c>
      <c r="K60" s="122">
        <f t="shared" si="4"/>
        <v>0</v>
      </c>
      <c r="L60" s="132">
        <f t="shared" si="6"/>
        <v>0</v>
      </c>
      <c r="N60" s="149"/>
    </row>
    <row r="61" spans="1:14">
      <c r="A61" s="60">
        <v>189</v>
      </c>
      <c r="B61" s="54" t="s">
        <v>110</v>
      </c>
      <c r="C61" s="76">
        <v>0</v>
      </c>
      <c r="D61" s="76">
        <v>275000</v>
      </c>
      <c r="E61" s="76"/>
      <c r="F61" s="76"/>
      <c r="G61" s="76"/>
      <c r="H61" s="76"/>
      <c r="I61" s="52">
        <f>C61+D61-E61+F61-G61</f>
        <v>275000</v>
      </c>
      <c r="J61" s="76">
        <v>0</v>
      </c>
      <c r="K61" s="122">
        <f t="shared" si="4"/>
        <v>275000</v>
      </c>
      <c r="L61" s="132">
        <f t="shared" si="6"/>
        <v>0</v>
      </c>
      <c r="N61" s="149"/>
    </row>
    <row r="62" spans="1:14">
      <c r="A62" s="60">
        <v>191</v>
      </c>
      <c r="B62" s="54" t="s">
        <v>111</v>
      </c>
      <c r="C62" s="76">
        <v>9000</v>
      </c>
      <c r="D62" s="76">
        <v>4000</v>
      </c>
      <c r="E62" s="76"/>
      <c r="F62" s="76"/>
      <c r="G62" s="76"/>
      <c r="H62" s="76"/>
      <c r="I62" s="52">
        <f t="shared" si="3"/>
        <v>13000</v>
      </c>
      <c r="J62" s="76">
        <v>0</v>
      </c>
      <c r="K62" s="122">
        <f t="shared" si="4"/>
        <v>13000</v>
      </c>
      <c r="L62" s="132">
        <f t="shared" si="6"/>
        <v>0</v>
      </c>
      <c r="N62" s="149"/>
    </row>
    <row r="63" spans="1:14">
      <c r="A63" s="60">
        <v>194</v>
      </c>
      <c r="B63" s="54" t="s">
        <v>112</v>
      </c>
      <c r="C63" s="76">
        <v>1080</v>
      </c>
      <c r="D63" s="76">
        <v>5000</v>
      </c>
      <c r="E63" s="76"/>
      <c r="F63" s="76"/>
      <c r="G63" s="76"/>
      <c r="H63" s="76"/>
      <c r="I63" s="52">
        <f>C63+D63-E63+F63-G63</f>
        <v>6080</v>
      </c>
      <c r="J63" s="76">
        <v>530.17999999999995</v>
      </c>
      <c r="K63" s="122">
        <f t="shared" si="4"/>
        <v>5549.82</v>
      </c>
      <c r="L63" s="132">
        <f t="shared" si="6"/>
        <v>2.6311180964588604E-4</v>
      </c>
      <c r="N63" s="149"/>
    </row>
    <row r="64" spans="1:14">
      <c r="A64" s="60">
        <v>195</v>
      </c>
      <c r="B64" s="54" t="s">
        <v>37</v>
      </c>
      <c r="C64" s="76">
        <v>10000</v>
      </c>
      <c r="D64" s="76"/>
      <c r="E64" s="76"/>
      <c r="F64" s="76"/>
      <c r="G64" s="76"/>
      <c r="H64" s="76"/>
      <c r="I64" s="52">
        <f t="shared" si="3"/>
        <v>10000</v>
      </c>
      <c r="J64" s="76">
        <v>628.95000000000005</v>
      </c>
      <c r="K64" s="122">
        <f t="shared" si="4"/>
        <v>9371.0499999999993</v>
      </c>
      <c r="L64" s="132">
        <f t="shared" si="6"/>
        <v>3.1212828223769296E-4</v>
      </c>
      <c r="N64" s="149"/>
    </row>
    <row r="65" spans="1:14">
      <c r="A65" s="60">
        <v>196</v>
      </c>
      <c r="B65" s="54" t="s">
        <v>113</v>
      </c>
      <c r="C65" s="76">
        <v>31300</v>
      </c>
      <c r="D65" s="76"/>
      <c r="E65" s="76"/>
      <c r="F65" s="76"/>
      <c r="G65" s="76"/>
      <c r="H65" s="76"/>
      <c r="I65" s="52">
        <f>C65+D65-E65+F65-G65</f>
        <v>31300</v>
      </c>
      <c r="J65" s="76">
        <v>0</v>
      </c>
      <c r="K65" s="122">
        <f t="shared" si="4"/>
        <v>31300</v>
      </c>
      <c r="L65" s="132">
        <f t="shared" si="6"/>
        <v>0</v>
      </c>
      <c r="N65" s="149"/>
    </row>
    <row r="66" spans="1:14">
      <c r="A66" s="60">
        <v>199</v>
      </c>
      <c r="B66" s="54" t="s">
        <v>60</v>
      </c>
      <c r="C66" s="76">
        <v>26043.75</v>
      </c>
      <c r="D66" s="76"/>
      <c r="E66" s="76"/>
      <c r="F66" s="76"/>
      <c r="G66" s="76"/>
      <c r="H66" s="76"/>
      <c r="I66" s="52">
        <f t="shared" si="3"/>
        <v>26043.75</v>
      </c>
      <c r="J66" s="76">
        <v>1647</v>
      </c>
      <c r="K66" s="122">
        <f t="shared" si="4"/>
        <v>24396.75</v>
      </c>
      <c r="L66" s="132">
        <f t="shared" si="6"/>
        <v>8.1735476722391326E-4</v>
      </c>
      <c r="N66" s="149"/>
    </row>
    <row r="67" spans="1:14">
      <c r="A67" s="59">
        <v>2</v>
      </c>
      <c r="B67" s="59" t="s">
        <v>11</v>
      </c>
      <c r="C67" s="76"/>
      <c r="D67" s="76"/>
      <c r="E67" s="76"/>
      <c r="F67" s="76"/>
      <c r="G67" s="76"/>
      <c r="H67" s="76"/>
      <c r="I67" s="52"/>
      <c r="J67" s="105"/>
      <c r="K67" s="122"/>
      <c r="L67" s="132">
        <f t="shared" si="6"/>
        <v>0</v>
      </c>
      <c r="N67" s="149"/>
    </row>
    <row r="68" spans="1:14">
      <c r="A68" s="60">
        <v>211</v>
      </c>
      <c r="B68" s="54" t="s">
        <v>24</v>
      </c>
      <c r="C68" s="76">
        <v>66744.479999999996</v>
      </c>
      <c r="D68" s="76"/>
      <c r="E68" s="76"/>
      <c r="F68" s="76"/>
      <c r="G68" s="76"/>
      <c r="H68" s="76"/>
      <c r="I68" s="52">
        <f t="shared" si="3"/>
        <v>66744.479999999996</v>
      </c>
      <c r="J68" s="76">
        <v>18774.650000000001</v>
      </c>
      <c r="K68" s="122">
        <f t="shared" si="4"/>
        <v>47969.829999999994</v>
      </c>
      <c r="L68" s="132">
        <f t="shared" si="6"/>
        <v>9.3172736371951691E-3</v>
      </c>
      <c r="N68" s="149"/>
    </row>
    <row r="69" spans="1:14">
      <c r="A69" s="60">
        <v>219</v>
      </c>
      <c r="B69" s="54" t="s">
        <v>25</v>
      </c>
      <c r="C69" s="76">
        <v>0</v>
      </c>
      <c r="D69" s="76"/>
      <c r="E69" s="76"/>
      <c r="F69" s="76"/>
      <c r="G69" s="76"/>
      <c r="H69" s="76"/>
      <c r="I69" s="52">
        <f t="shared" si="3"/>
        <v>0</v>
      </c>
      <c r="J69" s="76">
        <v>0</v>
      </c>
      <c r="K69" s="122">
        <f t="shared" si="4"/>
        <v>0</v>
      </c>
      <c r="L69" s="132">
        <f t="shared" si="6"/>
        <v>0</v>
      </c>
      <c r="N69" s="149"/>
    </row>
    <row r="70" spans="1:14">
      <c r="A70" s="60">
        <v>232</v>
      </c>
      <c r="B70" s="54" t="s">
        <v>62</v>
      </c>
      <c r="C70" s="76">
        <v>1140</v>
      </c>
      <c r="D70" s="76"/>
      <c r="E70" s="76"/>
      <c r="F70" s="76"/>
      <c r="G70" s="76"/>
      <c r="H70" s="76"/>
      <c r="I70" s="52">
        <f t="shared" si="3"/>
        <v>1140</v>
      </c>
      <c r="J70" s="76">
        <v>140</v>
      </c>
      <c r="K70" s="122">
        <f t="shared" si="4"/>
        <v>1000</v>
      </c>
      <c r="L70" s="132">
        <f t="shared" si="6"/>
        <v>6.9477636558195423E-5</v>
      </c>
      <c r="N70" s="149"/>
    </row>
    <row r="71" spans="1:14">
      <c r="A71" s="60">
        <v>233</v>
      </c>
      <c r="B71" s="54" t="s">
        <v>75</v>
      </c>
      <c r="C71" s="76">
        <v>58000</v>
      </c>
      <c r="D71" s="76"/>
      <c r="E71" s="76"/>
      <c r="F71" s="76"/>
      <c r="G71" s="76"/>
      <c r="H71" s="76"/>
      <c r="I71" s="52">
        <f t="shared" si="3"/>
        <v>58000</v>
      </c>
      <c r="J71" s="76">
        <v>0</v>
      </c>
      <c r="K71" s="122">
        <f t="shared" si="4"/>
        <v>58000</v>
      </c>
      <c r="L71" s="132">
        <f t="shared" si="6"/>
        <v>0</v>
      </c>
      <c r="N71" s="149"/>
    </row>
    <row r="72" spans="1:14">
      <c r="A72" s="60">
        <v>241</v>
      </c>
      <c r="B72" s="54" t="s">
        <v>63</v>
      </c>
      <c r="C72" s="76">
        <v>3000</v>
      </c>
      <c r="D72" s="76">
        <v>3500</v>
      </c>
      <c r="E72" s="76"/>
      <c r="F72" s="76"/>
      <c r="G72" s="76"/>
      <c r="H72" s="76"/>
      <c r="I72" s="52">
        <f t="shared" si="3"/>
        <v>6500</v>
      </c>
      <c r="J72" s="76">
        <v>4052.2</v>
      </c>
      <c r="K72" s="122">
        <f t="shared" si="4"/>
        <v>2447.8000000000002</v>
      </c>
      <c r="L72" s="132">
        <f t="shared" si="6"/>
        <v>2.0109805632937106E-3</v>
      </c>
      <c r="N72" s="149"/>
    </row>
    <row r="73" spans="1:14">
      <c r="A73" s="60">
        <v>243</v>
      </c>
      <c r="B73" s="54" t="s">
        <v>48</v>
      </c>
      <c r="C73" s="76">
        <v>350</v>
      </c>
      <c r="D73" s="76"/>
      <c r="E73" s="76"/>
      <c r="F73" s="76"/>
      <c r="G73" s="76"/>
      <c r="H73" s="76"/>
      <c r="I73" s="52">
        <f t="shared" si="3"/>
        <v>350</v>
      </c>
      <c r="J73" s="76">
        <v>64</v>
      </c>
      <c r="K73" s="122">
        <f t="shared" si="4"/>
        <v>286</v>
      </c>
      <c r="L73" s="132">
        <f t="shared" si="6"/>
        <v>3.176120528374648E-5</v>
      </c>
      <c r="N73" s="149"/>
    </row>
    <row r="74" spans="1:14">
      <c r="A74" s="60">
        <v>244</v>
      </c>
      <c r="B74" s="54" t="s">
        <v>49</v>
      </c>
      <c r="C74" s="76">
        <v>1000</v>
      </c>
      <c r="D74" s="76"/>
      <c r="E74" s="76"/>
      <c r="F74" s="76"/>
      <c r="G74" s="76"/>
      <c r="H74" s="76"/>
      <c r="I74" s="52">
        <f t="shared" si="3"/>
        <v>1000</v>
      </c>
      <c r="J74" s="76">
        <v>240</v>
      </c>
      <c r="K74" s="122">
        <f t="shared" si="4"/>
        <v>760</v>
      </c>
      <c r="L74" s="132">
        <f t="shared" si="6"/>
        <v>1.191045198140493E-4</v>
      </c>
      <c r="N74" s="149"/>
    </row>
    <row r="75" spans="1:14">
      <c r="A75" s="60">
        <v>245</v>
      </c>
      <c r="B75" s="54" t="s">
        <v>50</v>
      </c>
      <c r="C75" s="76">
        <v>1305</v>
      </c>
      <c r="D75" s="76"/>
      <c r="E75" s="76"/>
      <c r="F75" s="76"/>
      <c r="G75" s="76"/>
      <c r="H75" s="76"/>
      <c r="I75" s="52">
        <f t="shared" si="3"/>
        <v>1305</v>
      </c>
      <c r="J75" s="76">
        <v>0</v>
      </c>
      <c r="K75" s="122">
        <f t="shared" si="4"/>
        <v>1305</v>
      </c>
      <c r="L75" s="132">
        <f t="shared" si="6"/>
        <v>0</v>
      </c>
      <c r="N75" s="149"/>
    </row>
    <row r="76" spans="1:14">
      <c r="A76" s="60">
        <v>253</v>
      </c>
      <c r="B76" s="54" t="s">
        <v>41</v>
      </c>
      <c r="C76" s="76">
        <v>2500</v>
      </c>
      <c r="D76" s="76"/>
      <c r="E76" s="76"/>
      <c r="F76" s="76"/>
      <c r="G76" s="76"/>
      <c r="H76" s="76"/>
      <c r="I76" s="52">
        <f t="shared" si="3"/>
        <v>2500</v>
      </c>
      <c r="J76" s="76">
        <v>0</v>
      </c>
      <c r="K76" s="122">
        <f t="shared" si="4"/>
        <v>2500</v>
      </c>
      <c r="L76" s="132">
        <f t="shared" si="6"/>
        <v>0</v>
      </c>
      <c r="N76" s="149"/>
    </row>
    <row r="77" spans="1:14">
      <c r="A77" s="60">
        <v>254</v>
      </c>
      <c r="B77" s="54" t="s">
        <v>51</v>
      </c>
      <c r="C77" s="76">
        <v>200</v>
      </c>
      <c r="D77" s="76">
        <v>500</v>
      </c>
      <c r="E77" s="76"/>
      <c r="F77" s="76"/>
      <c r="G77" s="76"/>
      <c r="H77" s="76"/>
      <c r="I77" s="52">
        <f t="shared" si="3"/>
        <v>700</v>
      </c>
      <c r="J77" s="76">
        <v>270</v>
      </c>
      <c r="K77" s="122">
        <f t="shared" si="4"/>
        <v>430</v>
      </c>
      <c r="L77" s="132">
        <f t="shared" si="6"/>
        <v>1.3399258479080545E-4</v>
      </c>
      <c r="N77" s="149"/>
    </row>
    <row r="78" spans="1:14">
      <c r="A78" s="60">
        <v>262</v>
      </c>
      <c r="B78" s="54" t="s">
        <v>64</v>
      </c>
      <c r="C78" s="76">
        <v>9770</v>
      </c>
      <c r="D78" s="76"/>
      <c r="E78" s="76"/>
      <c r="F78" s="76"/>
      <c r="G78" s="76"/>
      <c r="H78" s="76"/>
      <c r="I78" s="52">
        <f t="shared" si="3"/>
        <v>9770</v>
      </c>
      <c r="J78" s="76">
        <v>2410.42</v>
      </c>
      <c r="K78" s="122">
        <f t="shared" si="4"/>
        <v>7359.58</v>
      </c>
      <c r="L78" s="132">
        <f t="shared" si="6"/>
        <v>1.196216319375753E-3</v>
      </c>
      <c r="N78" s="149"/>
    </row>
    <row r="79" spans="1:14">
      <c r="A79" s="60">
        <v>266</v>
      </c>
      <c r="B79" s="54" t="s">
        <v>65</v>
      </c>
      <c r="C79" s="76">
        <v>600</v>
      </c>
      <c r="D79" s="76"/>
      <c r="E79" s="76"/>
      <c r="F79" s="76"/>
      <c r="G79" s="76"/>
      <c r="H79" s="76"/>
      <c r="I79" s="52">
        <f t="shared" si="3"/>
        <v>600</v>
      </c>
      <c r="J79" s="76">
        <v>70.510000000000005</v>
      </c>
      <c r="K79" s="122">
        <f t="shared" si="4"/>
        <v>529.49</v>
      </c>
      <c r="L79" s="132">
        <f t="shared" si="6"/>
        <v>3.4991915383702565E-5</v>
      </c>
      <c r="N79" s="149"/>
    </row>
    <row r="80" spans="1:14">
      <c r="A80" s="60">
        <v>267</v>
      </c>
      <c r="B80" s="54" t="s">
        <v>93</v>
      </c>
      <c r="C80" s="76">
        <v>15000</v>
      </c>
      <c r="D80" s="76"/>
      <c r="E80" s="76"/>
      <c r="F80" s="76"/>
      <c r="G80" s="76"/>
      <c r="H80" s="76"/>
      <c r="I80" s="52">
        <f t="shared" si="3"/>
        <v>15000</v>
      </c>
      <c r="J80" s="76">
        <v>7247</v>
      </c>
      <c r="K80" s="122">
        <f t="shared" si="4"/>
        <v>7753</v>
      </c>
      <c r="L80" s="132">
        <f t="shared" si="6"/>
        <v>3.5964602295517302E-3</v>
      </c>
      <c r="N80" s="149"/>
    </row>
    <row r="81" spans="1:14">
      <c r="A81" s="60">
        <v>268</v>
      </c>
      <c r="B81" s="54" t="s">
        <v>66</v>
      </c>
      <c r="C81" s="76">
        <v>1858</v>
      </c>
      <c r="D81" s="76"/>
      <c r="E81" s="76"/>
      <c r="F81" s="76"/>
      <c r="G81" s="76"/>
      <c r="H81" s="76"/>
      <c r="I81" s="52">
        <f t="shared" si="3"/>
        <v>1858</v>
      </c>
      <c r="J81" s="76">
        <v>870.55000000000007</v>
      </c>
      <c r="K81" s="122">
        <f t="shared" si="4"/>
        <v>987.44999999999993</v>
      </c>
      <c r="L81" s="132">
        <f t="shared" si="6"/>
        <v>4.3202683218383591E-4</v>
      </c>
      <c r="N81" s="149"/>
    </row>
    <row r="82" spans="1:14">
      <c r="A82" s="60">
        <v>269</v>
      </c>
      <c r="B82" s="54" t="s">
        <v>67</v>
      </c>
      <c r="C82" s="76">
        <v>500</v>
      </c>
      <c r="D82" s="76"/>
      <c r="E82" s="76"/>
      <c r="F82" s="76"/>
      <c r="G82" s="76"/>
      <c r="H82" s="76"/>
      <c r="I82" s="52">
        <f t="shared" si="3"/>
        <v>500</v>
      </c>
      <c r="J82" s="76">
        <v>0</v>
      </c>
      <c r="K82" s="122">
        <f t="shared" si="4"/>
        <v>500</v>
      </c>
      <c r="L82" s="132">
        <f t="shared" si="6"/>
        <v>0</v>
      </c>
      <c r="N82" s="149"/>
    </row>
    <row r="83" spans="1:14">
      <c r="A83" s="60">
        <v>271</v>
      </c>
      <c r="B83" s="54" t="s">
        <v>68</v>
      </c>
      <c r="C83" s="76">
        <v>381250</v>
      </c>
      <c r="D83" s="76"/>
      <c r="E83" s="76"/>
      <c r="F83" s="99"/>
      <c r="G83" s="76"/>
      <c r="H83" s="76"/>
      <c r="I83" s="52">
        <f t="shared" si="3"/>
        <v>381250</v>
      </c>
      <c r="J83" s="76">
        <v>0</v>
      </c>
      <c r="K83" s="122">
        <f t="shared" si="4"/>
        <v>381250</v>
      </c>
      <c r="L83" s="132">
        <f t="shared" si="6"/>
        <v>0</v>
      </c>
      <c r="N83" s="149"/>
    </row>
    <row r="84" spans="1:14">
      <c r="A84" s="60">
        <v>283</v>
      </c>
      <c r="B84" s="54" t="s">
        <v>69</v>
      </c>
      <c r="C84" s="76">
        <v>1000</v>
      </c>
      <c r="D84" s="76"/>
      <c r="E84" s="76"/>
      <c r="F84" s="76"/>
      <c r="G84" s="76"/>
      <c r="H84" s="76"/>
      <c r="I84" s="52">
        <f t="shared" si="3"/>
        <v>1000</v>
      </c>
      <c r="J84" s="76">
        <v>31.2</v>
      </c>
      <c r="K84" s="122">
        <f t="shared" si="4"/>
        <v>968.8</v>
      </c>
      <c r="L84" s="132">
        <f t="shared" si="6"/>
        <v>1.5483587575826407E-5</v>
      </c>
      <c r="N84" s="149"/>
    </row>
    <row r="85" spans="1:14">
      <c r="A85" s="60">
        <v>284</v>
      </c>
      <c r="B85" s="54" t="s">
        <v>52</v>
      </c>
      <c r="C85" s="76">
        <v>5000</v>
      </c>
      <c r="D85" s="76">
        <v>7000</v>
      </c>
      <c r="E85" s="76"/>
      <c r="F85" s="76"/>
      <c r="G85" s="76"/>
      <c r="H85" s="76"/>
      <c r="I85" s="52">
        <f t="shared" si="3"/>
        <v>12000</v>
      </c>
      <c r="J85" s="76">
        <v>344.23</v>
      </c>
      <c r="K85" s="122">
        <f t="shared" ref="K85:K93" si="7">I85-J85</f>
        <v>11655.77</v>
      </c>
      <c r="L85" s="132">
        <f t="shared" si="6"/>
        <v>1.7083062023162579E-4</v>
      </c>
      <c r="N85" s="149"/>
    </row>
    <row r="86" spans="1:14">
      <c r="A86" s="60">
        <v>285</v>
      </c>
      <c r="B86" s="54" t="s">
        <v>128</v>
      </c>
      <c r="C86" s="76">
        <v>1516915</v>
      </c>
      <c r="D86" s="76"/>
      <c r="E86" s="76">
        <v>476000</v>
      </c>
      <c r="F86" s="76"/>
      <c r="G86" s="76"/>
      <c r="H86" s="76"/>
      <c r="I86" s="52">
        <f t="shared" si="3"/>
        <v>1040915</v>
      </c>
      <c r="J86" s="76">
        <v>0</v>
      </c>
      <c r="K86" s="122">
        <f t="shared" si="7"/>
        <v>1040915</v>
      </c>
      <c r="L86" s="132">
        <f t="shared" si="6"/>
        <v>0</v>
      </c>
      <c r="N86" s="149"/>
    </row>
    <row r="87" spans="1:14">
      <c r="A87" s="60">
        <v>291</v>
      </c>
      <c r="B87" s="54" t="s">
        <v>70</v>
      </c>
      <c r="C87" s="76">
        <v>6500</v>
      </c>
      <c r="D87" s="76">
        <v>2500</v>
      </c>
      <c r="E87" s="76"/>
      <c r="F87" s="76"/>
      <c r="G87" s="76"/>
      <c r="H87" s="76"/>
      <c r="I87" s="52">
        <f t="shared" si="3"/>
        <v>9000</v>
      </c>
      <c r="J87" s="76">
        <v>3895.9700000000003</v>
      </c>
      <c r="K87" s="122">
        <f t="shared" si="7"/>
        <v>5104.03</v>
      </c>
      <c r="L87" s="132">
        <f t="shared" si="6"/>
        <v>1.9334484835830902E-3</v>
      </c>
      <c r="N87" s="149"/>
    </row>
    <row r="88" spans="1:14">
      <c r="A88" s="60">
        <v>292</v>
      </c>
      <c r="B88" s="54" t="s">
        <v>71</v>
      </c>
      <c r="C88" s="76">
        <v>1300</v>
      </c>
      <c r="D88" s="76">
        <v>500</v>
      </c>
      <c r="E88" s="76"/>
      <c r="F88" s="76"/>
      <c r="G88" s="76"/>
      <c r="H88" s="76"/>
      <c r="I88" s="52">
        <f t="shared" si="3"/>
        <v>1800</v>
      </c>
      <c r="J88" s="76">
        <v>360.05999999999995</v>
      </c>
      <c r="K88" s="122">
        <f t="shared" si="7"/>
        <v>1439.94</v>
      </c>
      <c r="L88" s="132">
        <f t="shared" si="6"/>
        <v>1.7868655585102743E-4</v>
      </c>
      <c r="N88" s="149"/>
    </row>
    <row r="89" spans="1:14">
      <c r="A89" s="60">
        <v>294</v>
      </c>
      <c r="B89" s="54" t="s">
        <v>72</v>
      </c>
      <c r="C89" s="76">
        <v>65000</v>
      </c>
      <c r="D89" s="98"/>
      <c r="E89" s="98"/>
      <c r="F89" s="98"/>
      <c r="G89" s="98"/>
      <c r="H89" s="98"/>
      <c r="I89" s="52">
        <f t="shared" si="3"/>
        <v>65000</v>
      </c>
      <c r="J89" s="76">
        <v>18270.95</v>
      </c>
      <c r="K89" s="122">
        <f t="shared" si="7"/>
        <v>46729.05</v>
      </c>
      <c r="L89" s="132">
        <f t="shared" si="6"/>
        <v>9.0673030262354327E-3</v>
      </c>
      <c r="N89" s="149"/>
    </row>
    <row r="90" spans="1:14">
      <c r="A90" s="60">
        <v>296</v>
      </c>
      <c r="B90" s="54" t="s">
        <v>114</v>
      </c>
      <c r="C90" s="76">
        <v>800</v>
      </c>
      <c r="D90" s="76"/>
      <c r="E90" s="76"/>
      <c r="F90" s="76"/>
      <c r="G90" s="76"/>
      <c r="H90" s="76"/>
      <c r="I90" s="52">
        <f>C90+D90-E90+F90-G90</f>
        <v>800</v>
      </c>
      <c r="J90" s="76">
        <v>0</v>
      </c>
      <c r="K90" s="122">
        <f t="shared" si="7"/>
        <v>800</v>
      </c>
      <c r="L90" s="132">
        <f t="shared" si="6"/>
        <v>0</v>
      </c>
      <c r="N90" s="149"/>
    </row>
    <row r="91" spans="1:14">
      <c r="A91" s="60">
        <v>297</v>
      </c>
      <c r="B91" s="54" t="s">
        <v>73</v>
      </c>
      <c r="C91" s="76">
        <v>800</v>
      </c>
      <c r="D91" s="76"/>
      <c r="E91" s="76"/>
      <c r="F91" s="76"/>
      <c r="G91" s="76"/>
      <c r="H91" s="76"/>
      <c r="I91" s="52">
        <f t="shared" si="3"/>
        <v>800</v>
      </c>
      <c r="J91" s="76">
        <v>0</v>
      </c>
      <c r="K91" s="122">
        <f t="shared" si="7"/>
        <v>800</v>
      </c>
      <c r="L91" s="132">
        <f t="shared" si="6"/>
        <v>0</v>
      </c>
      <c r="N91" s="149"/>
    </row>
    <row r="92" spans="1:14">
      <c r="A92" s="60">
        <v>298</v>
      </c>
      <c r="B92" s="54" t="s">
        <v>26</v>
      </c>
      <c r="C92" s="76">
        <v>20000</v>
      </c>
      <c r="D92" s="98"/>
      <c r="E92" s="98"/>
      <c r="F92" s="76"/>
      <c r="G92" s="76"/>
      <c r="H92" s="76"/>
      <c r="I92" s="52">
        <f t="shared" si="3"/>
        <v>20000</v>
      </c>
      <c r="J92" s="76">
        <v>3028.94</v>
      </c>
      <c r="K92" s="122">
        <f t="shared" si="7"/>
        <v>16971.060000000001</v>
      </c>
      <c r="L92" s="132">
        <f t="shared" si="6"/>
        <v>1.5031685176898602E-3</v>
      </c>
      <c r="N92" s="149"/>
    </row>
    <row r="93" spans="1:14">
      <c r="A93" s="60">
        <v>299</v>
      </c>
      <c r="B93" s="54" t="s">
        <v>74</v>
      </c>
      <c r="C93" s="76">
        <v>15000</v>
      </c>
      <c r="D93" s="98"/>
      <c r="E93" s="98"/>
      <c r="F93" s="98"/>
      <c r="G93" s="98"/>
      <c r="H93" s="98"/>
      <c r="I93" s="52">
        <f t="shared" si="3"/>
        <v>15000</v>
      </c>
      <c r="J93" s="76">
        <v>3347.91</v>
      </c>
      <c r="K93" s="122">
        <f t="shared" si="7"/>
        <v>11652.09</v>
      </c>
      <c r="L93" s="132">
        <f t="shared" si="6"/>
        <v>1.6614633872110572E-3</v>
      </c>
      <c r="N93" s="149"/>
    </row>
    <row r="94" spans="1:14">
      <c r="A94" s="59">
        <v>3</v>
      </c>
      <c r="B94" s="59" t="s">
        <v>12</v>
      </c>
      <c r="C94" s="76"/>
      <c r="D94" s="76"/>
      <c r="E94" s="76"/>
      <c r="F94" s="76"/>
      <c r="G94" s="76"/>
      <c r="H94" s="76"/>
      <c r="I94" s="52"/>
      <c r="J94" s="105"/>
      <c r="K94" s="122"/>
      <c r="L94" s="132"/>
      <c r="N94" s="149"/>
    </row>
    <row r="95" spans="1:14">
      <c r="A95" s="60">
        <v>322</v>
      </c>
      <c r="B95" s="54" t="s">
        <v>88</v>
      </c>
      <c r="C95" s="76">
        <v>32000</v>
      </c>
      <c r="D95" s="76"/>
      <c r="E95" s="76"/>
      <c r="F95" s="76"/>
      <c r="G95" s="76"/>
      <c r="H95" s="76"/>
      <c r="I95" s="52">
        <f t="shared" si="3"/>
        <v>32000</v>
      </c>
      <c r="J95" s="76">
        <v>5775</v>
      </c>
      <c r="K95" s="122">
        <f t="shared" ref="K95:K106" si="8">I95-J95</f>
        <v>26225</v>
      </c>
      <c r="L95" s="132">
        <f>J95/$J$108</f>
        <v>2.865952508025561E-3</v>
      </c>
      <c r="N95" s="149"/>
    </row>
    <row r="96" spans="1:14">
      <c r="A96" s="60">
        <v>323</v>
      </c>
      <c r="B96" s="54" t="s">
        <v>140</v>
      </c>
      <c r="C96" s="76">
        <v>3000</v>
      </c>
      <c r="D96" s="76"/>
      <c r="E96" s="76"/>
      <c r="F96" s="76"/>
      <c r="G96" s="76"/>
      <c r="H96" s="76"/>
      <c r="I96" s="52">
        <f t="shared" si="3"/>
        <v>3000</v>
      </c>
      <c r="J96" s="76">
        <v>0</v>
      </c>
      <c r="K96" s="122">
        <f t="shared" si="8"/>
        <v>3000</v>
      </c>
      <c r="L96" s="132">
        <f>J96/$J$108</f>
        <v>0</v>
      </c>
      <c r="N96" s="149"/>
    </row>
    <row r="97" spans="1:14">
      <c r="A97" s="60">
        <v>324</v>
      </c>
      <c r="B97" s="54" t="s">
        <v>141</v>
      </c>
      <c r="C97" s="76">
        <v>116220</v>
      </c>
      <c r="D97" s="76"/>
      <c r="E97" s="76"/>
      <c r="F97" s="76"/>
      <c r="G97" s="76"/>
      <c r="H97" s="76"/>
      <c r="I97" s="52">
        <f t="shared" si="3"/>
        <v>116220</v>
      </c>
      <c r="J97" s="76">
        <v>10300</v>
      </c>
      <c r="K97" s="122">
        <f t="shared" si="8"/>
        <v>105920</v>
      </c>
      <c r="L97" s="132">
        <f>J97/$J$108</f>
        <v>5.1115689753529489E-3</v>
      </c>
      <c r="N97" s="149"/>
    </row>
    <row r="98" spans="1:14">
      <c r="A98" s="60">
        <v>328</v>
      </c>
      <c r="B98" s="54" t="s">
        <v>89</v>
      </c>
      <c r="C98" s="76">
        <v>18000</v>
      </c>
      <c r="D98" s="76"/>
      <c r="E98" s="76"/>
      <c r="F98" s="76"/>
      <c r="G98" s="76"/>
      <c r="H98" s="76"/>
      <c r="I98" s="52">
        <f t="shared" si="3"/>
        <v>18000</v>
      </c>
      <c r="J98" s="76">
        <v>375</v>
      </c>
      <c r="K98" s="122">
        <f t="shared" si="8"/>
        <v>17625</v>
      </c>
      <c r="L98" s="132">
        <f>J98/$J$108</f>
        <v>1.8610081220945201E-4</v>
      </c>
      <c r="N98" s="149"/>
    </row>
    <row r="99" spans="1:14">
      <c r="A99" s="60">
        <v>329</v>
      </c>
      <c r="B99" s="54" t="s">
        <v>90</v>
      </c>
      <c r="C99" s="76">
        <v>8000</v>
      </c>
      <c r="D99" s="76">
        <v>5000</v>
      </c>
      <c r="E99" s="76"/>
      <c r="F99" s="76"/>
      <c r="G99" s="76"/>
      <c r="H99" s="76"/>
      <c r="I99" s="52">
        <f t="shared" si="3"/>
        <v>13000</v>
      </c>
      <c r="J99" s="76">
        <v>0</v>
      </c>
      <c r="K99" s="122">
        <f t="shared" si="8"/>
        <v>13000</v>
      </c>
      <c r="L99" s="132">
        <f>J99/$J$108</f>
        <v>0</v>
      </c>
      <c r="N99" s="149"/>
    </row>
    <row r="100" spans="1:14">
      <c r="A100" s="59"/>
      <c r="B100" s="59"/>
      <c r="C100" s="76"/>
      <c r="D100" s="76"/>
      <c r="E100" s="76"/>
      <c r="F100" s="76"/>
      <c r="G100" s="76"/>
      <c r="H100" s="76"/>
      <c r="I100" s="52"/>
      <c r="J100" s="76"/>
      <c r="K100" s="122"/>
      <c r="L100" s="132"/>
      <c r="N100" s="149"/>
    </row>
    <row r="101" spans="1:14">
      <c r="A101" s="59">
        <v>4</v>
      </c>
      <c r="B101" s="59" t="s">
        <v>13</v>
      </c>
      <c r="C101" s="76"/>
      <c r="D101" s="76"/>
      <c r="E101" s="76"/>
      <c r="F101" s="76"/>
      <c r="G101" s="76"/>
      <c r="H101" s="76"/>
      <c r="I101" s="52"/>
      <c r="J101" s="76"/>
      <c r="K101" s="122"/>
      <c r="L101" s="132"/>
      <c r="N101" s="149"/>
    </row>
    <row r="102" spans="1:14">
      <c r="A102" s="61">
        <v>413</v>
      </c>
      <c r="B102" s="62" t="s">
        <v>77</v>
      </c>
      <c r="C102" s="76">
        <v>46000</v>
      </c>
      <c r="D102" s="76"/>
      <c r="E102" s="76"/>
      <c r="F102" s="76"/>
      <c r="G102" s="129"/>
      <c r="H102" s="129"/>
      <c r="I102" s="52">
        <f t="shared" ref="I102:I106" si="9">C102+D102-E102+F102-G102</f>
        <v>46000</v>
      </c>
      <c r="J102" s="76">
        <v>0</v>
      </c>
      <c r="K102" s="122">
        <f t="shared" si="8"/>
        <v>46000</v>
      </c>
      <c r="L102" s="132">
        <f>J102/$J$108</f>
        <v>0</v>
      </c>
      <c r="N102" s="149"/>
    </row>
    <row r="103" spans="1:14">
      <c r="A103" s="61">
        <v>415</v>
      </c>
      <c r="B103" s="62" t="s">
        <v>78</v>
      </c>
      <c r="C103" s="76">
        <v>30100</v>
      </c>
      <c r="D103" s="76"/>
      <c r="E103" s="76"/>
      <c r="F103" s="76"/>
      <c r="G103" s="129"/>
      <c r="H103" s="129"/>
      <c r="I103" s="52">
        <f t="shared" si="9"/>
        <v>30100</v>
      </c>
      <c r="J103" s="76">
        <v>0</v>
      </c>
      <c r="K103" s="122">
        <f t="shared" si="8"/>
        <v>30100</v>
      </c>
      <c r="L103" s="132">
        <f>J103/$J$108</f>
        <v>0</v>
      </c>
      <c r="N103" s="149"/>
    </row>
    <row r="104" spans="1:14">
      <c r="A104" s="61">
        <v>419</v>
      </c>
      <c r="B104" s="62" t="s">
        <v>79</v>
      </c>
      <c r="C104" s="76">
        <v>19200</v>
      </c>
      <c r="D104" s="76"/>
      <c r="E104" s="76"/>
      <c r="F104" s="129"/>
      <c r="G104" s="129"/>
      <c r="H104" s="129"/>
      <c r="I104" s="52">
        <f t="shared" si="9"/>
        <v>19200</v>
      </c>
      <c r="J104" s="76">
        <v>1400</v>
      </c>
      <c r="K104" s="122">
        <f t="shared" si="8"/>
        <v>17800</v>
      </c>
      <c r="L104" s="132">
        <f>J104/$J$108</f>
        <v>6.9477636558195417E-4</v>
      </c>
      <c r="N104" s="149"/>
    </row>
    <row r="105" spans="1:14">
      <c r="A105" s="61">
        <v>453</v>
      </c>
      <c r="B105" s="62" t="s">
        <v>80</v>
      </c>
      <c r="C105" s="76">
        <v>120000</v>
      </c>
      <c r="D105" s="76"/>
      <c r="E105" s="76"/>
      <c r="F105" s="129"/>
      <c r="G105" s="129"/>
      <c r="H105" s="129"/>
      <c r="I105" s="52">
        <f>C105+D105-E105+F105-G105</f>
        <v>120000</v>
      </c>
      <c r="J105" s="76">
        <v>99286.35</v>
      </c>
      <c r="K105" s="122">
        <f t="shared" si="8"/>
        <v>20713.649999999994</v>
      </c>
      <c r="L105" s="132">
        <f>J105/$J$108</f>
        <v>4.9272721003498471E-2</v>
      </c>
      <c r="N105" s="149"/>
    </row>
    <row r="106" spans="1:14">
      <c r="A106" s="61">
        <v>472</v>
      </c>
      <c r="B106" s="62" t="s">
        <v>118</v>
      </c>
      <c r="C106" s="76">
        <v>4000</v>
      </c>
      <c r="D106" s="76"/>
      <c r="E106" s="76"/>
      <c r="F106" s="129"/>
      <c r="G106" s="129"/>
      <c r="H106" s="129"/>
      <c r="I106" s="52">
        <f t="shared" si="9"/>
        <v>4000</v>
      </c>
      <c r="J106" s="76">
        <v>2089.9</v>
      </c>
      <c r="K106" s="122">
        <f t="shared" si="8"/>
        <v>1910.1</v>
      </c>
      <c r="L106" s="132">
        <f>J106/$J$108</f>
        <v>1.0371522331640902E-3</v>
      </c>
      <c r="N106" s="149"/>
    </row>
    <row r="107" spans="1:14" ht="20.25" customHeight="1" thickBot="1">
      <c r="A107" s="56"/>
      <c r="B107" s="160"/>
      <c r="C107" s="161"/>
      <c r="D107" s="76"/>
      <c r="E107" s="76"/>
      <c r="F107" s="101"/>
      <c r="G107" s="101"/>
      <c r="H107" s="101"/>
      <c r="I107" s="52"/>
      <c r="J107" s="101"/>
      <c r="K107" s="125"/>
      <c r="L107" s="132"/>
    </row>
    <row r="108" spans="1:14" ht="20.25" customHeight="1" thickBot="1">
      <c r="A108" s="162"/>
      <c r="B108" s="19" t="s">
        <v>7</v>
      </c>
      <c r="C108" s="11">
        <f>SUM(C20:C107)</f>
        <v>6176079.2063746657</v>
      </c>
      <c r="D108" s="11">
        <f>SUM(D20:D107)</f>
        <v>833550</v>
      </c>
      <c r="E108" s="11">
        <f>SUM(E20:E107)</f>
        <v>833550</v>
      </c>
      <c r="F108" s="11">
        <f t="shared" ref="F108:K108" si="10">SUM(F20:F107)</f>
        <v>0</v>
      </c>
      <c r="G108" s="11">
        <f t="shared" si="10"/>
        <v>0</v>
      </c>
      <c r="H108" s="11">
        <f t="shared" si="10"/>
        <v>0</v>
      </c>
      <c r="I108" s="11">
        <f t="shared" si="10"/>
        <v>6176079.2063746667</v>
      </c>
      <c r="J108" s="63">
        <f t="shared" si="10"/>
        <v>2015036.8799999994</v>
      </c>
      <c r="K108" s="11">
        <f t="shared" si="10"/>
        <v>4161042.3263746658</v>
      </c>
      <c r="L108" s="163">
        <f>J108/J108</f>
        <v>1</v>
      </c>
    </row>
    <row r="109" spans="1:14" ht="20.25" customHeight="1">
      <c r="A109" s="164"/>
      <c r="B109" s="36"/>
      <c r="C109" s="37"/>
      <c r="D109" s="37"/>
      <c r="E109" s="37"/>
      <c r="F109" s="37"/>
      <c r="G109" s="64"/>
      <c r="H109" s="37"/>
      <c r="I109" s="37"/>
      <c r="J109" s="64"/>
      <c r="K109" s="37"/>
      <c r="L109" s="39"/>
    </row>
    <row r="110" spans="1:14" ht="20.25" customHeight="1" thickBot="1">
      <c r="A110" s="164"/>
      <c r="B110" s="36"/>
      <c r="C110" s="37"/>
      <c r="D110" s="37"/>
      <c r="E110" s="37"/>
      <c r="F110" s="37"/>
      <c r="G110" s="37"/>
      <c r="H110" s="37"/>
      <c r="I110" s="37"/>
      <c r="J110" s="64"/>
      <c r="K110" s="37"/>
      <c r="L110" s="39"/>
    </row>
    <row r="111" spans="1:14" s="35" customFormat="1">
      <c r="A111" s="81" t="s">
        <v>8</v>
      </c>
      <c r="B111" s="81"/>
      <c r="C111" s="165"/>
      <c r="D111" s="32"/>
      <c r="E111" s="32"/>
      <c r="F111" s="96"/>
      <c r="G111" s="96"/>
      <c r="H111" s="96"/>
      <c r="I111" s="42"/>
      <c r="J111" s="32"/>
      <c r="K111" s="33"/>
      <c r="L111" s="34"/>
    </row>
    <row r="112" spans="1:14" s="35" customFormat="1">
      <c r="A112" s="84" t="s">
        <v>0</v>
      </c>
      <c r="B112" s="84"/>
      <c r="C112" s="166"/>
      <c r="D112" s="32"/>
      <c r="E112" s="32"/>
      <c r="F112" s="96"/>
      <c r="G112" s="96"/>
      <c r="H112" s="96"/>
      <c r="I112" s="42"/>
      <c r="J112" s="32"/>
      <c r="K112" s="33"/>
      <c r="L112" s="34"/>
    </row>
    <row r="113" spans="1:12" s="35" customFormat="1" ht="12" customHeight="1" thickBot="1">
      <c r="A113" s="84"/>
      <c r="B113" s="84"/>
      <c r="C113" s="166"/>
      <c r="D113" s="32"/>
      <c r="E113" s="32"/>
      <c r="F113" s="96"/>
      <c r="G113" s="96"/>
      <c r="H113" s="96"/>
      <c r="I113" s="42"/>
      <c r="J113" s="32"/>
      <c r="K113" s="33"/>
      <c r="L113" s="34"/>
    </row>
    <row r="114" spans="1:12" s="35" customFormat="1">
      <c r="A114" s="90" t="s">
        <v>121</v>
      </c>
      <c r="B114" s="85"/>
      <c r="C114" s="167"/>
      <c r="D114" s="32"/>
      <c r="E114" s="32"/>
      <c r="F114" s="96"/>
      <c r="G114" s="96"/>
      <c r="H114" s="96"/>
      <c r="I114" s="42"/>
      <c r="J114" s="32"/>
      <c r="K114" s="33"/>
      <c r="L114" s="34"/>
    </row>
    <row r="115" spans="1:12" s="35" customFormat="1">
      <c r="A115" s="91" t="s">
        <v>131</v>
      </c>
      <c r="B115" s="83"/>
      <c r="C115" s="168">
        <v>1077959.21</v>
      </c>
      <c r="D115" s="32"/>
      <c r="E115" s="169"/>
      <c r="F115" s="96"/>
      <c r="G115" s="96"/>
      <c r="H115" s="96"/>
      <c r="I115" s="42"/>
      <c r="J115" s="32"/>
      <c r="K115" s="33"/>
      <c r="L115" s="34"/>
    </row>
    <row r="116" spans="1:12" s="35" customFormat="1">
      <c r="A116" s="91" t="s">
        <v>81</v>
      </c>
      <c r="B116" s="83"/>
      <c r="C116" s="168">
        <f>ROUND((J18),2)</f>
        <v>2110743.14</v>
      </c>
      <c r="D116" s="32"/>
      <c r="E116" s="169"/>
      <c r="F116" s="135"/>
      <c r="G116" s="96"/>
      <c r="H116" s="96"/>
      <c r="I116" s="42"/>
      <c r="J116" s="32"/>
      <c r="K116" s="33"/>
      <c r="L116" s="34"/>
    </row>
    <row r="117" spans="1:12" s="35" customFormat="1">
      <c r="A117" s="91" t="s">
        <v>94</v>
      </c>
      <c r="B117" s="83"/>
      <c r="C117" s="109">
        <f>-ROUND((J108),2)</f>
        <v>-2015036.88</v>
      </c>
      <c r="D117" s="32"/>
      <c r="E117" s="169"/>
      <c r="F117" s="135"/>
      <c r="G117" s="96"/>
      <c r="H117" s="96"/>
      <c r="I117" s="42"/>
      <c r="J117" s="32"/>
      <c r="K117" s="33"/>
      <c r="L117" s="34"/>
    </row>
    <row r="118" spans="1:12" s="35" customFormat="1">
      <c r="A118" s="93" t="s">
        <v>120</v>
      </c>
      <c r="B118" s="83"/>
      <c r="C118" s="170">
        <f>SUM(C115:C117)</f>
        <v>1173665.4700000002</v>
      </c>
      <c r="D118" s="171"/>
      <c r="E118" s="169"/>
      <c r="F118" s="135"/>
      <c r="G118" s="96"/>
      <c r="H118" s="96"/>
      <c r="I118" s="42"/>
      <c r="J118" s="32"/>
      <c r="K118" s="33"/>
      <c r="L118" s="34"/>
    </row>
    <row r="119" spans="1:12" s="35" customFormat="1">
      <c r="A119" s="92" t="s">
        <v>122</v>
      </c>
      <c r="B119" s="82"/>
      <c r="C119" s="119"/>
      <c r="D119" s="32"/>
      <c r="E119" s="32"/>
      <c r="F119" s="130"/>
      <c r="G119" s="118"/>
      <c r="H119" s="96"/>
      <c r="I119" s="42"/>
      <c r="J119" s="32"/>
      <c r="K119" s="33"/>
      <c r="L119" s="34"/>
    </row>
    <row r="120" spans="1:12" s="35" customFormat="1">
      <c r="A120" s="91" t="s">
        <v>143</v>
      </c>
      <c r="B120" s="83"/>
      <c r="C120" s="168">
        <v>-5000</v>
      </c>
      <c r="D120" s="32"/>
      <c r="E120" s="32"/>
      <c r="F120" s="131"/>
      <c r="G120" s="118"/>
      <c r="H120" s="96"/>
      <c r="I120" s="42"/>
      <c r="J120" s="32"/>
      <c r="K120" s="33"/>
      <c r="L120" s="34"/>
    </row>
    <row r="121" spans="1:12" s="35" customFormat="1" ht="6.95" customHeight="1">
      <c r="A121" s="91"/>
      <c r="B121" s="83"/>
      <c r="C121" s="109"/>
      <c r="D121" s="32"/>
      <c r="E121" s="95"/>
      <c r="F121" s="117"/>
      <c r="G121" s="118"/>
      <c r="H121" s="96"/>
      <c r="I121" s="42"/>
      <c r="J121" s="32"/>
      <c r="K121" s="33"/>
      <c r="L121" s="34"/>
    </row>
    <row r="122" spans="1:12" s="35" customFormat="1">
      <c r="A122" s="91"/>
      <c r="B122" s="83"/>
      <c r="C122" s="170">
        <f>SUM(C120:C121)</f>
        <v>-5000</v>
      </c>
      <c r="D122" s="32"/>
      <c r="E122" s="32"/>
      <c r="F122" s="117"/>
      <c r="G122" s="118"/>
      <c r="H122" s="96"/>
      <c r="I122" s="42"/>
      <c r="J122" s="32"/>
      <c r="K122" s="33"/>
      <c r="L122" s="34"/>
    </row>
    <row r="123" spans="1:12" s="35" customFormat="1" ht="6.95" customHeight="1">
      <c r="A123" s="91"/>
      <c r="B123" s="83"/>
      <c r="C123" s="109"/>
      <c r="D123" s="32"/>
      <c r="E123" s="32"/>
      <c r="F123" s="96"/>
      <c r="G123" s="96"/>
      <c r="H123" s="96"/>
      <c r="I123" s="42"/>
      <c r="J123" s="32"/>
      <c r="K123" s="33"/>
      <c r="L123" s="34"/>
    </row>
    <row r="124" spans="1:12" s="35" customFormat="1" ht="6.95" customHeight="1">
      <c r="A124" s="91"/>
      <c r="B124" s="83"/>
      <c r="C124" s="172"/>
      <c r="D124" s="32"/>
      <c r="E124" s="32"/>
      <c r="F124" s="96"/>
      <c r="G124" s="96"/>
      <c r="H124" s="96"/>
      <c r="I124" s="42"/>
      <c r="J124" s="32"/>
      <c r="K124" s="33"/>
      <c r="L124" s="34"/>
    </row>
    <row r="125" spans="1:12" s="35" customFormat="1" ht="18.75" thickBot="1">
      <c r="A125" s="93" t="s">
        <v>162</v>
      </c>
      <c r="B125" s="88"/>
      <c r="C125" s="173">
        <f>C118+C122</f>
        <v>1168665.4700000002</v>
      </c>
      <c r="D125" s="174"/>
      <c r="F125" s="96"/>
      <c r="G125" s="96"/>
      <c r="H125" s="96"/>
      <c r="I125" s="42"/>
      <c r="J125" s="32"/>
      <c r="K125" s="33"/>
      <c r="L125" s="34"/>
    </row>
    <row r="126" spans="1:12" s="35" customFormat="1" ht="6.95" customHeight="1" thickTop="1" thickBot="1">
      <c r="A126" s="94"/>
      <c r="B126" s="87"/>
      <c r="C126" s="175"/>
      <c r="D126" s="174"/>
      <c r="F126" s="96"/>
      <c r="G126" s="96"/>
      <c r="H126" s="96"/>
      <c r="I126" s="42"/>
      <c r="J126" s="32"/>
      <c r="K126" s="33"/>
      <c r="L126" s="34"/>
    </row>
    <row r="127" spans="1:12">
      <c r="A127" s="43"/>
      <c r="B127" s="43"/>
      <c r="C127" s="176">
        <f>1168665.47-C125</f>
        <v>0</v>
      </c>
      <c r="D127" s="174"/>
      <c r="F127" s="136"/>
      <c r="G127" s="102"/>
      <c r="H127" s="102"/>
      <c r="I127" s="102"/>
      <c r="J127" s="102"/>
      <c r="K127" s="102"/>
      <c r="L127" s="102"/>
    </row>
    <row r="128" spans="1:12">
      <c r="A128" s="43"/>
      <c r="B128" s="43"/>
      <c r="C128" s="177"/>
      <c r="D128" s="174"/>
      <c r="F128" s="102"/>
      <c r="G128" s="102"/>
      <c r="H128" s="102"/>
      <c r="I128" s="102"/>
      <c r="J128" s="102"/>
      <c r="K128" s="102"/>
      <c r="L128" s="102"/>
    </row>
    <row r="129" spans="1:13">
      <c r="A129" s="36"/>
      <c r="B129" s="178" t="s">
        <v>163</v>
      </c>
      <c r="C129" s="179"/>
      <c r="D129" s="174"/>
      <c r="E129" s="95"/>
      <c r="F129" s="102"/>
      <c r="G129" s="102"/>
      <c r="I129" s="102"/>
      <c r="J129" s="102"/>
      <c r="K129" s="102"/>
      <c r="L129" s="102"/>
    </row>
    <row r="130" spans="1:13">
      <c r="A130" s="36"/>
      <c r="B130" s="43"/>
      <c r="C130" s="180"/>
      <c r="D130" s="174"/>
      <c r="E130" s="102"/>
      <c r="F130" s="102"/>
      <c r="G130" s="102"/>
      <c r="H130" s="102"/>
      <c r="I130" s="102"/>
      <c r="J130" s="102"/>
      <c r="K130" s="102"/>
      <c r="L130" s="102"/>
    </row>
    <row r="131" spans="1:13">
      <c r="A131" s="36"/>
      <c r="B131" s="43"/>
      <c r="C131" s="180"/>
      <c r="D131" s="174"/>
      <c r="E131" s="102"/>
      <c r="F131" s="102"/>
      <c r="G131" s="102"/>
      <c r="H131" s="102"/>
      <c r="I131" s="102"/>
      <c r="J131" s="102"/>
      <c r="K131" s="102"/>
      <c r="L131" s="102"/>
    </row>
    <row r="132" spans="1:13">
      <c r="A132" s="36"/>
      <c r="B132" s="43"/>
      <c r="C132" s="149"/>
      <c r="D132" s="174"/>
      <c r="E132" s="102"/>
      <c r="F132" s="102"/>
      <c r="G132" s="102"/>
      <c r="H132" s="102"/>
      <c r="I132" s="102"/>
      <c r="J132" s="102"/>
      <c r="K132" s="102"/>
      <c r="L132" s="102"/>
    </row>
    <row r="133" spans="1:13">
      <c r="A133" s="36"/>
      <c r="B133" s="43"/>
      <c r="C133" s="149"/>
      <c r="E133" s="102"/>
      <c r="F133" s="102"/>
      <c r="G133" s="102"/>
      <c r="H133" s="102"/>
      <c r="I133" s="102"/>
      <c r="J133" s="102"/>
      <c r="K133" s="102"/>
      <c r="L133" s="102"/>
    </row>
    <row r="134" spans="1:13">
      <c r="A134" s="164"/>
      <c r="B134" s="43"/>
      <c r="C134" s="45"/>
      <c r="D134" s="42"/>
      <c r="E134" s="95"/>
      <c r="F134" s="95"/>
      <c r="G134" s="102"/>
      <c r="H134" s="102"/>
      <c r="I134" s="102"/>
      <c r="J134" s="102"/>
      <c r="K134" s="102"/>
      <c r="L134" s="102"/>
    </row>
    <row r="135" spans="1:13">
      <c r="A135" s="164"/>
      <c r="B135" s="102"/>
      <c r="C135" s="181"/>
      <c r="D135" s="102"/>
      <c r="E135" s="95"/>
      <c r="F135" s="95"/>
      <c r="G135" s="102"/>
      <c r="H135" s="102"/>
      <c r="I135" s="102"/>
      <c r="J135" s="102"/>
      <c r="K135" s="102"/>
      <c r="L135" s="102"/>
    </row>
    <row r="136" spans="1:13" ht="18.75">
      <c r="A136" s="164"/>
      <c r="B136" s="103" t="s">
        <v>152</v>
      </c>
      <c r="C136" s="182" t="s">
        <v>153</v>
      </c>
      <c r="E136" s="103"/>
      <c r="F136" s="103"/>
      <c r="G136" s="182" t="s">
        <v>156</v>
      </c>
      <c r="J136" s="103"/>
      <c r="K136" s="126"/>
      <c r="L136" s="103"/>
    </row>
    <row r="137" spans="1:13" ht="18.75">
      <c r="A137" s="164"/>
      <c r="B137" s="183" t="s">
        <v>154</v>
      </c>
      <c r="C137" s="184" t="s">
        <v>155</v>
      </c>
      <c r="E137" s="104"/>
      <c r="F137" s="145"/>
      <c r="G137" s="184" t="s">
        <v>148</v>
      </c>
      <c r="J137" s="104"/>
      <c r="K137" s="104"/>
      <c r="L137" s="104"/>
    </row>
    <row r="138" spans="1:13" ht="18.75">
      <c r="A138" s="164"/>
      <c r="B138" s="104"/>
      <c r="D138" s="126"/>
      <c r="E138" s="104"/>
      <c r="F138" s="104"/>
      <c r="G138" s="104"/>
      <c r="H138" s="104"/>
      <c r="I138" s="185"/>
      <c r="J138" s="104"/>
      <c r="K138" s="104"/>
      <c r="L138" s="104"/>
    </row>
    <row r="139" spans="1:13" ht="18.75">
      <c r="A139" s="164"/>
      <c r="B139" s="104"/>
      <c r="C139" s="149"/>
      <c r="D139" s="104"/>
      <c r="F139" s="104"/>
      <c r="G139" s="104"/>
      <c r="H139" s="104"/>
      <c r="I139" s="104"/>
      <c r="J139" s="104"/>
      <c r="L139" s="104"/>
    </row>
    <row r="140" spans="1:13">
      <c r="A140" s="29"/>
      <c r="B140" s="153"/>
      <c r="C140" s="114"/>
      <c r="D140" s="153"/>
      <c r="F140" s="116"/>
      <c r="G140" s="116"/>
      <c r="H140" s="116"/>
      <c r="I140" s="153"/>
      <c r="J140" s="116"/>
      <c r="L140" s="34"/>
      <c r="M140" s="35"/>
    </row>
    <row r="141" spans="1:13">
      <c r="A141" s="29"/>
      <c r="B141" s="113"/>
      <c r="C141" s="114"/>
      <c r="D141" s="116"/>
      <c r="E141" s="116"/>
      <c r="F141" s="116"/>
      <c r="G141" s="116"/>
      <c r="H141" s="116"/>
      <c r="I141" s="116"/>
      <c r="J141" s="116"/>
      <c r="K141" s="33"/>
      <c r="L141" s="34"/>
      <c r="M141" s="35"/>
    </row>
    <row r="142" spans="1:13">
      <c r="A142" s="36"/>
      <c r="B142" s="28"/>
      <c r="C142" s="115"/>
      <c r="D142" s="116"/>
      <c r="E142" s="116"/>
      <c r="F142" s="116"/>
      <c r="G142" s="116"/>
      <c r="H142" s="116"/>
      <c r="I142" s="116"/>
      <c r="J142" s="116"/>
      <c r="K142" s="38"/>
      <c r="L142" s="39"/>
      <c r="M142" s="35"/>
    </row>
    <row r="143" spans="1:13">
      <c r="A143" s="36"/>
      <c r="B143" s="259"/>
      <c r="C143" s="259"/>
      <c r="D143" s="41"/>
      <c r="E143" s="40"/>
      <c r="F143" s="28"/>
      <c r="G143" s="28"/>
      <c r="H143" s="40"/>
      <c r="I143" s="40"/>
      <c r="J143" s="40"/>
      <c r="K143" s="40"/>
      <c r="L143" s="40"/>
      <c r="M143" s="35"/>
    </row>
    <row r="144" spans="1:13">
      <c r="A144" s="36"/>
      <c r="B144" s="36"/>
      <c r="C144" s="28"/>
      <c r="D144" s="28"/>
      <c r="E144" s="42"/>
      <c r="F144" s="28"/>
      <c r="G144" s="28"/>
      <c r="H144" s="42"/>
      <c r="I144" s="42"/>
      <c r="J144" s="42"/>
      <c r="K144" s="42"/>
      <c r="L144" s="42"/>
      <c r="M144" s="35"/>
    </row>
    <row r="145" spans="1:13">
      <c r="A145" s="36"/>
      <c r="B145" s="43"/>
      <c r="C145" s="42"/>
      <c r="D145" s="28"/>
      <c r="E145" s="28"/>
      <c r="F145" s="28"/>
      <c r="G145" s="28"/>
      <c r="H145" s="28"/>
      <c r="I145" s="28"/>
      <c r="J145" s="28"/>
      <c r="K145" s="28"/>
      <c r="L145" s="28"/>
      <c r="M145" s="35"/>
    </row>
    <row r="146" spans="1:13">
      <c r="A146" s="36"/>
      <c r="B146" s="43"/>
      <c r="C146" s="42"/>
      <c r="D146" s="28"/>
      <c r="E146" s="28"/>
      <c r="F146" s="28"/>
      <c r="G146" s="28"/>
      <c r="H146" s="28"/>
      <c r="I146" s="28"/>
      <c r="J146" s="28"/>
      <c r="K146" s="28"/>
      <c r="L146" s="44"/>
      <c r="M146" s="35"/>
    </row>
    <row r="147" spans="1:13">
      <c r="A147" s="36"/>
      <c r="B147" s="43"/>
      <c r="C147" s="42"/>
      <c r="D147" s="28"/>
      <c r="E147" s="28"/>
      <c r="F147" s="28"/>
      <c r="G147" s="28"/>
      <c r="H147" s="28"/>
      <c r="I147" s="28"/>
      <c r="J147" s="28"/>
      <c r="K147" s="28"/>
      <c r="L147" s="28"/>
      <c r="M147" s="35"/>
    </row>
    <row r="148" spans="1:13">
      <c r="A148" s="36"/>
      <c r="B148" s="43"/>
      <c r="C148" s="45"/>
      <c r="D148" s="28"/>
      <c r="E148" s="28"/>
      <c r="F148" s="28"/>
      <c r="G148" s="28"/>
      <c r="H148" s="28"/>
      <c r="I148" s="28"/>
      <c r="J148" s="28"/>
      <c r="K148" s="28"/>
      <c r="L148" s="28"/>
      <c r="M148" s="35"/>
    </row>
    <row r="149" spans="1:13">
      <c r="A149" s="36"/>
      <c r="B149" s="43"/>
      <c r="C149" s="45"/>
      <c r="D149" s="28"/>
      <c r="E149" s="28"/>
      <c r="F149" s="35"/>
      <c r="G149" s="35"/>
      <c r="H149" s="28"/>
      <c r="I149" s="28"/>
      <c r="J149" s="28"/>
      <c r="K149" s="28"/>
      <c r="L149" s="28"/>
      <c r="M149" s="35"/>
    </row>
    <row r="150" spans="1:13">
      <c r="A150" s="36"/>
      <c r="B150" s="35"/>
      <c r="C150" s="35"/>
      <c r="D150" s="28"/>
      <c r="E150" s="28"/>
      <c r="F150" s="35"/>
      <c r="G150" s="35"/>
      <c r="H150" s="28"/>
      <c r="I150" s="28"/>
      <c r="J150" s="28"/>
      <c r="K150" s="28"/>
      <c r="L150" s="28"/>
      <c r="M150" s="35"/>
    </row>
    <row r="151" spans="1:13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</row>
    <row r="152" spans="1:13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1:13">
      <c r="A153" s="35"/>
      <c r="B153" s="35"/>
      <c r="C153" s="35"/>
      <c r="D153" s="35"/>
      <c r="E153" s="35"/>
      <c r="H153" s="35"/>
      <c r="I153" s="35"/>
      <c r="J153" s="35"/>
      <c r="K153" s="35"/>
      <c r="L153" s="35"/>
      <c r="M153" s="35"/>
    </row>
    <row r="154" spans="1:13">
      <c r="A154" s="35"/>
      <c r="D154" s="35"/>
      <c r="E154" s="35"/>
      <c r="H154" s="35"/>
      <c r="I154" s="35"/>
      <c r="J154" s="35"/>
      <c r="K154" s="35"/>
      <c r="L154" s="35"/>
      <c r="M154" s="35"/>
    </row>
  </sheetData>
  <mergeCells count="6">
    <mergeCell ref="J6:J7"/>
    <mergeCell ref="B143:C143"/>
    <mergeCell ref="A6:A7"/>
    <mergeCell ref="B6:B7"/>
    <mergeCell ref="D6:E6"/>
    <mergeCell ref="F6:G6"/>
  </mergeCells>
  <printOptions horizontalCentered="1"/>
  <pageMargins left="0.39370078740157483" right="0.39370078740157483" top="0.78740157480314965" bottom="0.78740157480314965" header="0.31496062992125984" footer="0.31496062992125984"/>
  <pageSetup scale="50" orientation="landscape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4"/>
  <sheetViews>
    <sheetView showGridLines="0" topLeftCell="B1" zoomScale="75" zoomScaleNormal="75" workbookViewId="0">
      <selection activeCell="F14" sqref="F14"/>
    </sheetView>
  </sheetViews>
  <sheetFormatPr baseColWidth="10" defaultColWidth="11.42578125" defaultRowHeight="18"/>
  <cols>
    <col min="1" max="1" width="11.7109375" style="5" customWidth="1"/>
    <col min="2" max="2" width="67.7109375" style="5" customWidth="1"/>
    <col min="3" max="3" width="18.7109375" style="5" customWidth="1"/>
    <col min="4" max="7" width="17.7109375" style="5" customWidth="1"/>
    <col min="8" max="8" width="14.7109375" style="5" customWidth="1"/>
    <col min="9" max="9" width="18.7109375" style="5" customWidth="1"/>
    <col min="10" max="11" width="19.7109375" style="5" customWidth="1"/>
    <col min="12" max="12" width="12.7109375" style="5" customWidth="1"/>
    <col min="13" max="13" width="7" style="5" customWidth="1"/>
    <col min="14" max="14" width="19.5703125" style="5" bestFit="1" customWidth="1"/>
    <col min="15" max="16384" width="11.42578125" style="5"/>
  </cols>
  <sheetData>
    <row r="1" spans="1:14">
      <c r="A1" s="97" t="s">
        <v>39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4">
      <c r="A2" s="97" t="s">
        <v>119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4">
      <c r="A3" s="97" t="s">
        <v>165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</row>
    <row r="4" spans="1:14" ht="17.850000000000001" customHeight="1">
      <c r="A4" s="97" t="s">
        <v>0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</row>
    <row r="5" spans="1:14" ht="17.850000000000001" customHeight="1" thickBo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</row>
    <row r="6" spans="1:14" ht="18.75" thickBot="1">
      <c r="A6" s="260" t="s">
        <v>5</v>
      </c>
      <c r="B6" s="262" t="s">
        <v>40</v>
      </c>
      <c r="C6" s="3" t="s">
        <v>1</v>
      </c>
      <c r="D6" s="264" t="s">
        <v>147</v>
      </c>
      <c r="E6" s="264"/>
      <c r="F6" s="264" t="s">
        <v>38</v>
      </c>
      <c r="G6" s="264"/>
      <c r="H6" s="3" t="s">
        <v>42</v>
      </c>
      <c r="I6" s="3" t="s">
        <v>1</v>
      </c>
      <c r="J6" s="257" t="s">
        <v>2</v>
      </c>
      <c r="K6" s="4" t="s">
        <v>29</v>
      </c>
      <c r="L6" s="3" t="s">
        <v>31</v>
      </c>
    </row>
    <row r="7" spans="1:14" ht="18.75" thickBot="1">
      <c r="A7" s="261"/>
      <c r="B7" s="263"/>
      <c r="C7" s="6" t="s">
        <v>3</v>
      </c>
      <c r="D7" s="7" t="s">
        <v>145</v>
      </c>
      <c r="E7" s="7" t="s">
        <v>146</v>
      </c>
      <c r="F7" s="7" t="s">
        <v>145</v>
      </c>
      <c r="G7" s="7" t="s">
        <v>146</v>
      </c>
      <c r="H7" s="6" t="s">
        <v>33</v>
      </c>
      <c r="I7" s="6" t="s">
        <v>4</v>
      </c>
      <c r="J7" s="258"/>
      <c r="K7" s="8" t="s">
        <v>30</v>
      </c>
      <c r="L7" s="9" t="s">
        <v>32</v>
      </c>
    </row>
    <row r="8" spans="1:14">
      <c r="A8" s="69"/>
      <c r="B8" s="71" t="s">
        <v>116</v>
      </c>
      <c r="C8" s="98"/>
      <c r="D8" s="98"/>
      <c r="E8" s="98"/>
      <c r="F8" s="98"/>
      <c r="G8" s="98"/>
      <c r="H8" s="98"/>
      <c r="I8" s="98"/>
      <c r="J8" s="98"/>
      <c r="K8" s="98"/>
      <c r="L8" s="98"/>
    </row>
    <row r="9" spans="1:14">
      <c r="A9" s="60"/>
      <c r="B9" s="70" t="s">
        <v>117</v>
      </c>
      <c r="C9" s="52">
        <v>1077959.21</v>
      </c>
      <c r="D9" s="127"/>
      <c r="E9" s="52"/>
      <c r="F9" s="127"/>
      <c r="G9" s="127"/>
      <c r="H9" s="127"/>
      <c r="I9" s="128">
        <f t="shared" ref="I9:I16" si="0">C9+D9-E9+F9-G9</f>
        <v>1077959.21</v>
      </c>
      <c r="J9" s="133"/>
      <c r="K9" s="122">
        <f t="shared" ref="K9:K16" si="1">I9-J9+H9</f>
        <v>1077959.21</v>
      </c>
      <c r="L9" s="146">
        <f>J9/J18</f>
        <v>0</v>
      </c>
    </row>
    <row r="10" spans="1:14">
      <c r="A10" s="60" t="s">
        <v>27</v>
      </c>
      <c r="B10" s="54" t="s">
        <v>54</v>
      </c>
      <c r="C10" s="52">
        <f>12500+60000+1000</f>
        <v>73500</v>
      </c>
      <c r="D10" s="52"/>
      <c r="E10" s="52"/>
      <c r="F10" s="52"/>
      <c r="G10" s="52"/>
      <c r="H10" s="52"/>
      <c r="I10" s="52">
        <f>C10+D10-E10+F10-G10</f>
        <v>73500</v>
      </c>
      <c r="J10" s="52">
        <f>38825+6663</f>
        <v>45488</v>
      </c>
      <c r="K10" s="122">
        <v>0</v>
      </c>
      <c r="L10" s="146">
        <f>J10/J18</f>
        <v>1.7269227083183659E-2</v>
      </c>
      <c r="N10" s="147"/>
    </row>
    <row r="11" spans="1:14">
      <c r="A11" s="148" t="s">
        <v>95</v>
      </c>
      <c r="B11" s="54" t="s">
        <v>96</v>
      </c>
      <c r="C11" s="52">
        <v>4000</v>
      </c>
      <c r="D11" s="52"/>
      <c r="E11" s="52"/>
      <c r="F11" s="52"/>
      <c r="G11" s="52"/>
      <c r="H11" s="52"/>
      <c r="I11" s="52">
        <f t="shared" si="0"/>
        <v>4000</v>
      </c>
      <c r="J11" s="52">
        <f>687.37+466.2</f>
        <v>1153.57</v>
      </c>
      <c r="K11" s="122">
        <v>0</v>
      </c>
      <c r="L11" s="146">
        <f>J11/J18</f>
        <v>4.3794544245401361E-4</v>
      </c>
      <c r="N11" s="147"/>
    </row>
    <row r="12" spans="1:14">
      <c r="A12" s="60" t="s">
        <v>97</v>
      </c>
      <c r="B12" s="54" t="s">
        <v>133</v>
      </c>
      <c r="C12" s="52">
        <v>3172620</v>
      </c>
      <c r="D12" s="52"/>
      <c r="E12" s="52"/>
      <c r="F12" s="52"/>
      <c r="G12" s="52"/>
      <c r="H12" s="52"/>
      <c r="I12" s="52">
        <f t="shared" si="0"/>
        <v>3172620</v>
      </c>
      <c r="J12" s="133">
        <f>589661.98+459984.95</f>
        <v>1049646.93</v>
      </c>
      <c r="K12" s="122">
        <f>I12-J12+H12</f>
        <v>2122973.0700000003</v>
      </c>
      <c r="L12" s="146">
        <f>J12/J18</f>
        <v>0.39849171630620339</v>
      </c>
      <c r="N12" s="149"/>
    </row>
    <row r="13" spans="1:14">
      <c r="A13" s="60" t="s">
        <v>97</v>
      </c>
      <c r="B13" s="54" t="s">
        <v>134</v>
      </c>
      <c r="C13" s="52">
        <v>1828000</v>
      </c>
      <c r="D13" s="52"/>
      <c r="E13" s="52"/>
      <c r="F13" s="52"/>
      <c r="G13" s="52"/>
      <c r="H13" s="52"/>
      <c r="I13" s="52">
        <f t="shared" si="0"/>
        <v>1828000</v>
      </c>
      <c r="J13" s="133">
        <f>1481568.79+56192.27</f>
        <v>1537761.06</v>
      </c>
      <c r="K13" s="122">
        <f t="shared" si="1"/>
        <v>290238.93999999994</v>
      </c>
      <c r="L13" s="146">
        <f>J13/J18</f>
        <v>0.58380111116815891</v>
      </c>
    </row>
    <row r="14" spans="1:14">
      <c r="A14" s="60" t="s">
        <v>97</v>
      </c>
      <c r="B14" s="54" t="s">
        <v>99</v>
      </c>
      <c r="C14" s="52">
        <v>20000</v>
      </c>
      <c r="D14" s="52"/>
      <c r="E14" s="52"/>
      <c r="F14" s="52"/>
      <c r="G14" s="52"/>
      <c r="H14" s="52"/>
      <c r="I14" s="52">
        <f>C14+D14-E14+F14-G14</f>
        <v>20000</v>
      </c>
      <c r="J14" s="52">
        <v>0</v>
      </c>
      <c r="K14" s="122">
        <f>I14-J14+H14</f>
        <v>20000</v>
      </c>
      <c r="L14" s="146">
        <v>0</v>
      </c>
    </row>
    <row r="15" spans="1:14">
      <c r="A15" s="60" t="s">
        <v>97</v>
      </c>
      <c r="B15" s="54" t="s">
        <v>144</v>
      </c>
      <c r="C15" s="52">
        <v>0</v>
      </c>
      <c r="D15" s="52"/>
      <c r="E15" s="52"/>
      <c r="F15" s="52"/>
      <c r="G15" s="52"/>
      <c r="H15" s="52"/>
      <c r="I15" s="52">
        <f t="shared" si="0"/>
        <v>0</v>
      </c>
      <c r="J15" s="52">
        <v>0</v>
      </c>
      <c r="K15" s="122">
        <f t="shared" si="1"/>
        <v>0</v>
      </c>
      <c r="L15" s="146">
        <v>0</v>
      </c>
    </row>
    <row r="16" spans="1:14">
      <c r="A16" s="60" t="s">
        <v>97</v>
      </c>
      <c r="B16" s="54" t="s">
        <v>98</v>
      </c>
      <c r="C16" s="52">
        <v>0</v>
      </c>
      <c r="D16" s="52"/>
      <c r="E16" s="52"/>
      <c r="F16" s="52"/>
      <c r="G16" s="52"/>
      <c r="H16" s="52"/>
      <c r="I16" s="52">
        <f t="shared" si="0"/>
        <v>0</v>
      </c>
      <c r="J16" s="52">
        <v>0</v>
      </c>
      <c r="K16" s="122">
        <f t="shared" si="1"/>
        <v>0</v>
      </c>
      <c r="L16" s="146">
        <v>0</v>
      </c>
    </row>
    <row r="17" spans="1:14" ht="18.75" thickBot="1">
      <c r="A17" s="150"/>
      <c r="B17" s="151"/>
      <c r="C17" s="128">
        <v>0</v>
      </c>
      <c r="D17" s="128"/>
      <c r="E17" s="128"/>
      <c r="F17" s="128"/>
      <c r="G17" s="128"/>
      <c r="H17" s="128"/>
      <c r="I17" s="128">
        <f>H17</f>
        <v>0</v>
      </c>
      <c r="J17" s="52">
        <v>0</v>
      </c>
      <c r="K17" s="123">
        <f>-J17+H17</f>
        <v>0</v>
      </c>
      <c r="L17" s="152">
        <f>J17/J18</f>
        <v>0</v>
      </c>
      <c r="N17" s="42"/>
    </row>
    <row r="18" spans="1:14" ht="18.75" customHeight="1" thickBot="1">
      <c r="A18" s="68"/>
      <c r="B18" s="67" t="s">
        <v>6</v>
      </c>
      <c r="C18" s="11">
        <f t="shared" ref="C18:I18" si="2">SUM(C9:C17)</f>
        <v>6176079.21</v>
      </c>
      <c r="D18" s="63">
        <f t="shared" si="2"/>
        <v>0</v>
      </c>
      <c r="E18" s="63">
        <f t="shared" si="2"/>
        <v>0</v>
      </c>
      <c r="F18" s="63">
        <f t="shared" si="2"/>
        <v>0</v>
      </c>
      <c r="G18" s="63">
        <f t="shared" si="2"/>
        <v>0</v>
      </c>
      <c r="H18" s="63">
        <f t="shared" si="2"/>
        <v>0</v>
      </c>
      <c r="I18" s="11">
        <f t="shared" si="2"/>
        <v>6176079.21</v>
      </c>
      <c r="J18" s="11">
        <f>SUM(J9:J17)</f>
        <v>2634049.56</v>
      </c>
      <c r="K18" s="11">
        <f>SUM(K9:K17)</f>
        <v>3511171.22</v>
      </c>
      <c r="L18" s="12">
        <f>SUM(L17:L17)</f>
        <v>0</v>
      </c>
    </row>
    <row r="19" spans="1:14">
      <c r="A19" s="141" t="s">
        <v>5</v>
      </c>
      <c r="B19" s="142" t="s">
        <v>115</v>
      </c>
      <c r="C19" s="157"/>
      <c r="D19" s="157"/>
      <c r="E19" s="98"/>
      <c r="F19" s="98"/>
      <c r="G19" s="98"/>
      <c r="H19" s="98"/>
      <c r="I19" s="98"/>
      <c r="J19" s="99"/>
      <c r="K19" s="98"/>
      <c r="L19" s="98"/>
    </row>
    <row r="20" spans="1:14">
      <c r="A20" s="158">
        <v>0</v>
      </c>
      <c r="B20" s="59" t="s">
        <v>9</v>
      </c>
      <c r="C20" s="76"/>
      <c r="D20" s="100"/>
      <c r="E20" s="100"/>
      <c r="F20" s="100"/>
      <c r="G20" s="100"/>
      <c r="H20" s="100"/>
      <c r="I20" s="100"/>
      <c r="J20" s="100"/>
      <c r="K20" s="124"/>
      <c r="L20" s="132"/>
    </row>
    <row r="21" spans="1:14">
      <c r="A21" s="53" t="s">
        <v>14</v>
      </c>
      <c r="B21" s="54" t="s">
        <v>84</v>
      </c>
      <c r="C21" s="76">
        <v>574724</v>
      </c>
      <c r="D21" s="76"/>
      <c r="E21" s="76"/>
      <c r="F21" s="76"/>
      <c r="G21" s="76"/>
      <c r="H21" s="76"/>
      <c r="I21" s="52">
        <f t="shared" ref="I21:I107" si="3">C21+D21-E21+F21-G21</f>
        <v>574724</v>
      </c>
      <c r="J21" s="76">
        <v>207892.53</v>
      </c>
      <c r="K21" s="122">
        <f t="shared" ref="K21:K92" si="4">I21-J21</f>
        <v>366831.47</v>
      </c>
      <c r="L21" s="132">
        <f t="shared" ref="L21:L32" si="5">J21/$J$118</f>
        <v>9.2028926275341982E-2</v>
      </c>
      <c r="N21" s="149"/>
    </row>
    <row r="22" spans="1:14">
      <c r="A22" s="53" t="s">
        <v>34</v>
      </c>
      <c r="B22" s="54" t="s">
        <v>35</v>
      </c>
      <c r="C22" s="76">
        <v>4500</v>
      </c>
      <c r="D22" s="76"/>
      <c r="E22" s="76"/>
      <c r="F22" s="76"/>
      <c r="G22" s="76"/>
      <c r="H22" s="76"/>
      <c r="I22" s="52">
        <f t="shared" si="3"/>
        <v>4500</v>
      </c>
      <c r="J22" s="76">
        <v>1875</v>
      </c>
      <c r="K22" s="122">
        <f t="shared" si="4"/>
        <v>2625</v>
      </c>
      <c r="L22" s="132">
        <f t="shared" si="5"/>
        <v>8.300165319372765E-4</v>
      </c>
      <c r="N22" s="149"/>
    </row>
    <row r="23" spans="1:14">
      <c r="A23" s="53" t="s">
        <v>15</v>
      </c>
      <c r="B23" s="54" t="s">
        <v>43</v>
      </c>
      <c r="C23" s="76">
        <v>62500</v>
      </c>
      <c r="D23" s="76">
        <v>36000</v>
      </c>
      <c r="E23" s="76"/>
      <c r="F23" s="76"/>
      <c r="G23" s="76"/>
      <c r="H23" s="76"/>
      <c r="I23" s="52">
        <f t="shared" si="3"/>
        <v>98500</v>
      </c>
      <c r="J23" s="76">
        <v>27116.67</v>
      </c>
      <c r="K23" s="122">
        <f t="shared" si="4"/>
        <v>71383.33</v>
      </c>
      <c r="L23" s="132">
        <f t="shared" si="5"/>
        <v>1.2003885008580047E-2</v>
      </c>
      <c r="N23" s="149"/>
    </row>
    <row r="24" spans="1:14">
      <c r="A24" s="53" t="s">
        <v>135</v>
      </c>
      <c r="B24" s="54" t="s">
        <v>136</v>
      </c>
      <c r="C24" s="76">
        <v>357550</v>
      </c>
      <c r="D24" s="76"/>
      <c r="E24" s="76">
        <v>357550</v>
      </c>
      <c r="F24" s="76"/>
      <c r="G24" s="76"/>
      <c r="H24" s="76"/>
      <c r="I24" s="52">
        <f t="shared" si="3"/>
        <v>0</v>
      </c>
      <c r="J24" s="76">
        <v>0</v>
      </c>
      <c r="K24" s="122">
        <f t="shared" si="4"/>
        <v>0</v>
      </c>
      <c r="L24" s="132">
        <f t="shared" si="5"/>
        <v>0</v>
      </c>
      <c r="N24" s="149"/>
    </row>
    <row r="25" spans="1:14">
      <c r="A25" s="53" t="s">
        <v>137</v>
      </c>
      <c r="B25" s="54" t="s">
        <v>138</v>
      </c>
      <c r="C25" s="76">
        <v>5750</v>
      </c>
      <c r="D25" s="76"/>
      <c r="E25" s="76"/>
      <c r="F25" s="76"/>
      <c r="G25" s="76"/>
      <c r="H25" s="76"/>
      <c r="I25" s="52">
        <f t="shared" si="3"/>
        <v>5750</v>
      </c>
      <c r="J25" s="76">
        <v>0</v>
      </c>
      <c r="K25" s="122">
        <f t="shared" si="4"/>
        <v>5750</v>
      </c>
      <c r="L25" s="132">
        <f t="shared" si="5"/>
        <v>0</v>
      </c>
      <c r="N25" s="149"/>
    </row>
    <row r="26" spans="1:14">
      <c r="A26" s="53" t="s">
        <v>100</v>
      </c>
      <c r="B26" s="54" t="s">
        <v>101</v>
      </c>
      <c r="C26" s="76">
        <v>15400</v>
      </c>
      <c r="D26" s="76"/>
      <c r="E26" s="76"/>
      <c r="F26" s="76"/>
      <c r="G26" s="76"/>
      <c r="H26" s="76"/>
      <c r="I26" s="52">
        <f>C26+D26-E26+F26-G26</f>
        <v>15400</v>
      </c>
      <c r="J26" s="76">
        <v>0</v>
      </c>
      <c r="K26" s="122">
        <f t="shared" si="4"/>
        <v>15400</v>
      </c>
      <c r="L26" s="132">
        <f t="shared" si="5"/>
        <v>0</v>
      </c>
      <c r="N26" s="149"/>
    </row>
    <row r="27" spans="1:14">
      <c r="A27" s="53" t="s">
        <v>21</v>
      </c>
      <c r="B27" s="54" t="s">
        <v>22</v>
      </c>
      <c r="C27" s="76">
        <v>37627.240000000005</v>
      </c>
      <c r="D27" s="76"/>
      <c r="E27" s="76"/>
      <c r="F27" s="76"/>
      <c r="G27" s="76"/>
      <c r="H27" s="76"/>
      <c r="I27" s="52">
        <f t="shared" si="3"/>
        <v>37627.240000000005</v>
      </c>
      <c r="J27" s="76">
        <v>6735.22</v>
      </c>
      <c r="K27" s="122">
        <f t="shared" si="4"/>
        <v>30892.020000000004</v>
      </c>
      <c r="L27" s="132">
        <f t="shared" si="5"/>
        <v>2.9815167713251114E-3</v>
      </c>
      <c r="N27" s="149"/>
    </row>
    <row r="28" spans="1:14">
      <c r="A28" s="53" t="s">
        <v>16</v>
      </c>
      <c r="B28" s="54" t="s">
        <v>125</v>
      </c>
      <c r="C28" s="76">
        <v>111250.887308</v>
      </c>
      <c r="D28" s="76"/>
      <c r="E28" s="76"/>
      <c r="F28" s="76"/>
      <c r="G28" s="76"/>
      <c r="H28" s="52"/>
      <c r="I28" s="52">
        <f t="shared" si="3"/>
        <v>111250.887308</v>
      </c>
      <c r="J28" s="76">
        <v>18417.3</v>
      </c>
      <c r="K28" s="122">
        <f t="shared" si="4"/>
        <v>92833.587308000002</v>
      </c>
      <c r="L28" s="132">
        <f t="shared" si="5"/>
        <v>8.1528871859458153E-3</v>
      </c>
      <c r="N28" s="149"/>
    </row>
    <row r="29" spans="1:14">
      <c r="A29" s="53" t="s">
        <v>17</v>
      </c>
      <c r="B29" s="54" t="s">
        <v>126</v>
      </c>
      <c r="C29" s="76">
        <v>10426.5124</v>
      </c>
      <c r="D29" s="76"/>
      <c r="E29" s="76"/>
      <c r="F29" s="76"/>
      <c r="G29" s="76"/>
      <c r="H29" s="76"/>
      <c r="I29" s="52">
        <f t="shared" si="3"/>
        <v>10426.5124</v>
      </c>
      <c r="J29" s="76">
        <v>1726.09</v>
      </c>
      <c r="K29" s="122">
        <f t="shared" si="4"/>
        <v>8700.4223999999995</v>
      </c>
      <c r="L29" s="132">
        <f t="shared" si="5"/>
        <v>7.640977256595273E-4</v>
      </c>
      <c r="N29" s="149"/>
    </row>
    <row r="30" spans="1:14">
      <c r="A30" s="53" t="s">
        <v>18</v>
      </c>
      <c r="B30" s="55" t="s">
        <v>82</v>
      </c>
      <c r="C30" s="76">
        <v>78272.833333333328</v>
      </c>
      <c r="D30" s="76"/>
      <c r="E30" s="76"/>
      <c r="F30" s="76"/>
      <c r="G30" s="76"/>
      <c r="H30" s="76"/>
      <c r="I30" s="52">
        <f t="shared" si="3"/>
        <v>78272.833333333328</v>
      </c>
      <c r="J30" s="76">
        <v>0</v>
      </c>
      <c r="K30" s="122">
        <f t="shared" si="4"/>
        <v>78272.833333333328</v>
      </c>
      <c r="L30" s="132">
        <f t="shared" si="5"/>
        <v>0</v>
      </c>
      <c r="N30" s="149"/>
    </row>
    <row r="31" spans="1:14">
      <c r="A31" s="53" t="s">
        <v>19</v>
      </c>
      <c r="B31" s="54" t="s">
        <v>85</v>
      </c>
      <c r="C31" s="76">
        <v>78272.833333333328</v>
      </c>
      <c r="D31" s="76"/>
      <c r="E31" s="76"/>
      <c r="F31" s="76"/>
      <c r="G31" s="76"/>
      <c r="H31" s="76"/>
      <c r="I31" s="52">
        <f t="shared" si="3"/>
        <v>78272.833333333328</v>
      </c>
      <c r="J31" s="76">
        <v>0</v>
      </c>
      <c r="K31" s="122">
        <f t="shared" si="4"/>
        <v>78272.833333333328</v>
      </c>
      <c r="L31" s="132">
        <f t="shared" si="5"/>
        <v>0</v>
      </c>
      <c r="N31" s="149"/>
    </row>
    <row r="32" spans="1:14">
      <c r="A32" s="53" t="s">
        <v>20</v>
      </c>
      <c r="B32" s="54" t="s">
        <v>83</v>
      </c>
      <c r="C32" s="76">
        <v>4800</v>
      </c>
      <c r="D32" s="76"/>
      <c r="E32" s="76"/>
      <c r="F32" s="76"/>
      <c r="G32" s="76"/>
      <c r="H32" s="76"/>
      <c r="I32" s="52">
        <f t="shared" si="3"/>
        <v>4800</v>
      </c>
      <c r="J32" s="76">
        <v>0</v>
      </c>
      <c r="K32" s="122">
        <f t="shared" si="4"/>
        <v>4800</v>
      </c>
      <c r="L32" s="132">
        <f t="shared" si="5"/>
        <v>0</v>
      </c>
      <c r="N32" s="149"/>
    </row>
    <row r="33" spans="1:14">
      <c r="A33" s="59">
        <v>1</v>
      </c>
      <c r="B33" s="59" t="s">
        <v>10</v>
      </c>
      <c r="C33" s="76"/>
      <c r="D33" s="76"/>
      <c r="E33" s="76"/>
      <c r="F33" s="76"/>
      <c r="G33" s="76"/>
      <c r="H33" s="76"/>
      <c r="I33" s="52"/>
      <c r="J33" s="105"/>
      <c r="K33" s="122"/>
      <c r="L33" s="132"/>
      <c r="N33" s="149"/>
    </row>
    <row r="34" spans="1:14">
      <c r="A34" s="60">
        <v>111</v>
      </c>
      <c r="B34" s="54" t="s">
        <v>44</v>
      </c>
      <c r="C34" s="76">
        <v>13125</v>
      </c>
      <c r="D34" s="76"/>
      <c r="E34" s="76"/>
      <c r="F34" s="76"/>
      <c r="G34" s="76"/>
      <c r="H34" s="76"/>
      <c r="I34" s="52">
        <f t="shared" si="3"/>
        <v>13125</v>
      </c>
      <c r="J34" s="76">
        <v>3326.49</v>
      </c>
      <c r="K34" s="122">
        <f t="shared" si="4"/>
        <v>9798.51</v>
      </c>
      <c r="L34" s="132">
        <f t="shared" ref="L34:L51" si="6">J34/$J$118</f>
        <v>1.4725555697728166E-3</v>
      </c>
      <c r="N34" s="149"/>
    </row>
    <row r="35" spans="1:14">
      <c r="A35" s="60">
        <v>113</v>
      </c>
      <c r="B35" s="54" t="s">
        <v>53</v>
      </c>
      <c r="C35" s="76">
        <v>24780</v>
      </c>
      <c r="D35" s="76"/>
      <c r="E35" s="76"/>
      <c r="F35" s="76"/>
      <c r="G35" s="76"/>
      <c r="H35" s="76"/>
      <c r="I35" s="52">
        <f t="shared" si="3"/>
        <v>24780</v>
      </c>
      <c r="J35" s="76">
        <v>11234</v>
      </c>
      <c r="K35" s="122">
        <f t="shared" si="4"/>
        <v>13546</v>
      </c>
      <c r="L35" s="132">
        <f t="shared" si="6"/>
        <v>4.9730163838844609E-3</v>
      </c>
      <c r="N35" s="149"/>
    </row>
    <row r="36" spans="1:14">
      <c r="A36" s="60">
        <v>114</v>
      </c>
      <c r="B36" s="54" t="s">
        <v>124</v>
      </c>
      <c r="C36" s="76">
        <v>5000</v>
      </c>
      <c r="D36" s="76"/>
      <c r="E36" s="76"/>
      <c r="F36" s="76"/>
      <c r="G36" s="76"/>
      <c r="H36" s="76"/>
      <c r="I36" s="52">
        <f t="shared" si="3"/>
        <v>5000</v>
      </c>
      <c r="J36" s="76">
        <v>40</v>
      </c>
      <c r="K36" s="122">
        <f t="shared" si="4"/>
        <v>4960</v>
      </c>
      <c r="L36" s="132">
        <f t="shared" si="6"/>
        <v>1.7707019347995233E-5</v>
      </c>
      <c r="N36" s="149"/>
    </row>
    <row r="37" spans="1:14">
      <c r="A37" s="60">
        <v>121</v>
      </c>
      <c r="B37" s="54" t="s">
        <v>55</v>
      </c>
      <c r="C37" s="76">
        <v>20000</v>
      </c>
      <c r="D37" s="76">
        <v>30000</v>
      </c>
      <c r="E37" s="76"/>
      <c r="F37" s="76"/>
      <c r="G37" s="76"/>
      <c r="H37" s="76"/>
      <c r="I37" s="52">
        <f t="shared" si="3"/>
        <v>50000</v>
      </c>
      <c r="J37" s="76">
        <v>22339</v>
      </c>
      <c r="K37" s="122">
        <f t="shared" si="4"/>
        <v>27661</v>
      </c>
      <c r="L37" s="132">
        <f t="shared" si="6"/>
        <v>9.8889276303716373E-3</v>
      </c>
      <c r="N37" s="149"/>
    </row>
    <row r="38" spans="1:14">
      <c r="A38" s="60">
        <v>122</v>
      </c>
      <c r="B38" s="54" t="s">
        <v>86</v>
      </c>
      <c r="C38" s="76">
        <v>17950</v>
      </c>
      <c r="D38" s="76">
        <v>10000</v>
      </c>
      <c r="E38" s="76"/>
      <c r="F38" s="76"/>
      <c r="G38" s="76"/>
      <c r="H38" s="76"/>
      <c r="I38" s="52">
        <f t="shared" si="3"/>
        <v>27950</v>
      </c>
      <c r="J38" s="76">
        <v>8152.5</v>
      </c>
      <c r="K38" s="122">
        <f t="shared" si="4"/>
        <v>19797.5</v>
      </c>
      <c r="L38" s="132">
        <f t="shared" si="6"/>
        <v>3.6089118808632784E-3</v>
      </c>
      <c r="M38" s="159"/>
      <c r="N38" s="149"/>
    </row>
    <row r="39" spans="1:14">
      <c r="A39" s="60">
        <v>131</v>
      </c>
      <c r="B39" s="54" t="s">
        <v>56</v>
      </c>
      <c r="C39" s="76">
        <v>1102000</v>
      </c>
      <c r="D39" s="76">
        <v>375000</v>
      </c>
      <c r="E39" s="76"/>
      <c r="F39" s="76"/>
      <c r="G39" s="76"/>
      <c r="H39" s="76"/>
      <c r="I39" s="52">
        <f t="shared" si="3"/>
        <v>1477000</v>
      </c>
      <c r="J39" s="76">
        <v>1151747.94</v>
      </c>
      <c r="K39" s="122">
        <f t="shared" si="4"/>
        <v>325252.06000000006</v>
      </c>
      <c r="L39" s="132">
        <f t="shared" si="6"/>
        <v>0.50985057643984133</v>
      </c>
      <c r="N39" s="149"/>
    </row>
    <row r="40" spans="1:14">
      <c r="A40" s="60">
        <v>133</v>
      </c>
      <c r="B40" s="54" t="s">
        <v>57</v>
      </c>
      <c r="C40" s="76">
        <v>4546.67</v>
      </c>
      <c r="D40" s="76"/>
      <c r="E40" s="76"/>
      <c r="F40" s="76"/>
      <c r="G40" s="76"/>
      <c r="H40" s="76"/>
      <c r="I40" s="52">
        <f t="shared" si="3"/>
        <v>4546.67</v>
      </c>
      <c r="J40" s="76">
        <v>0</v>
      </c>
      <c r="K40" s="122">
        <f t="shared" si="4"/>
        <v>4546.67</v>
      </c>
      <c r="L40" s="132">
        <f t="shared" si="6"/>
        <v>0</v>
      </c>
      <c r="N40" s="149"/>
    </row>
    <row r="41" spans="1:14">
      <c r="A41" s="60">
        <v>134</v>
      </c>
      <c r="B41" s="54" t="s">
        <v>87</v>
      </c>
      <c r="C41" s="76">
        <v>0</v>
      </c>
      <c r="D41" s="76"/>
      <c r="E41" s="76"/>
      <c r="F41" s="76"/>
      <c r="G41" s="76"/>
      <c r="H41" s="76"/>
      <c r="I41" s="52">
        <f t="shared" si="3"/>
        <v>0</v>
      </c>
      <c r="J41" s="76">
        <v>0</v>
      </c>
      <c r="K41" s="122">
        <f t="shared" si="4"/>
        <v>0</v>
      </c>
      <c r="L41" s="132">
        <f t="shared" si="6"/>
        <v>0</v>
      </c>
      <c r="N41" s="149"/>
    </row>
    <row r="42" spans="1:14">
      <c r="A42" s="60">
        <v>135</v>
      </c>
      <c r="B42" s="54" t="s">
        <v>102</v>
      </c>
      <c r="C42" s="76">
        <v>124000</v>
      </c>
      <c r="D42" s="76"/>
      <c r="E42" s="76"/>
      <c r="F42" s="76"/>
      <c r="G42" s="76"/>
      <c r="H42" s="76"/>
      <c r="I42" s="52">
        <f>C42+D42-E42+F42-G42</f>
        <v>124000</v>
      </c>
      <c r="J42" s="76">
        <v>88201.61</v>
      </c>
      <c r="K42" s="122">
        <f t="shared" si="4"/>
        <v>35798.39</v>
      </c>
      <c r="L42" s="132">
        <f t="shared" si="6"/>
        <v>3.9044690369858248E-2</v>
      </c>
      <c r="N42" s="149"/>
    </row>
    <row r="43" spans="1:14">
      <c r="A43" s="60">
        <v>141</v>
      </c>
      <c r="B43" s="54" t="s">
        <v>76</v>
      </c>
      <c r="C43" s="76">
        <v>374045.69</v>
      </c>
      <c r="D43" s="76">
        <v>77000</v>
      </c>
      <c r="E43" s="76"/>
      <c r="F43" s="76"/>
      <c r="G43" s="76"/>
      <c r="H43" s="76"/>
      <c r="I43" s="52">
        <f t="shared" si="3"/>
        <v>451045.69</v>
      </c>
      <c r="J43" s="76">
        <v>378378.15</v>
      </c>
      <c r="K43" s="122">
        <f t="shared" si="4"/>
        <v>72667.539999999979</v>
      </c>
      <c r="L43" s="132">
        <f t="shared" si="6"/>
        <v>0.16749873057271608</v>
      </c>
      <c r="N43" s="149"/>
    </row>
    <row r="44" spans="1:14">
      <c r="A44" s="60">
        <v>142</v>
      </c>
      <c r="B44" s="54" t="s">
        <v>23</v>
      </c>
      <c r="C44" s="76">
        <v>32600</v>
      </c>
      <c r="D44" s="76"/>
      <c r="E44" s="76"/>
      <c r="F44" s="76"/>
      <c r="G44" s="76"/>
      <c r="H44" s="76"/>
      <c r="I44" s="52">
        <f t="shared" si="3"/>
        <v>32600</v>
      </c>
      <c r="J44" s="76">
        <v>0</v>
      </c>
      <c r="K44" s="122">
        <f t="shared" si="4"/>
        <v>32600</v>
      </c>
      <c r="L44" s="132">
        <f t="shared" si="6"/>
        <v>0</v>
      </c>
      <c r="N44" s="149"/>
    </row>
    <row r="45" spans="1:14">
      <c r="A45" s="60">
        <v>143</v>
      </c>
      <c r="B45" s="54" t="s">
        <v>127</v>
      </c>
      <c r="C45" s="76">
        <v>37071.31</v>
      </c>
      <c r="D45" s="76"/>
      <c r="E45" s="76"/>
      <c r="F45" s="76"/>
      <c r="G45" s="76"/>
      <c r="H45" s="76"/>
      <c r="I45" s="52">
        <f t="shared" si="3"/>
        <v>37071.31</v>
      </c>
      <c r="J45" s="76">
        <v>0</v>
      </c>
      <c r="K45" s="122">
        <f t="shared" si="4"/>
        <v>37071.31</v>
      </c>
      <c r="L45" s="132">
        <f t="shared" si="6"/>
        <v>0</v>
      </c>
      <c r="N45" s="149"/>
    </row>
    <row r="46" spans="1:14">
      <c r="A46" s="60">
        <v>151</v>
      </c>
      <c r="B46" s="54" t="s">
        <v>139</v>
      </c>
      <c r="C46" s="76">
        <v>70560</v>
      </c>
      <c r="D46" s="76"/>
      <c r="E46" s="76"/>
      <c r="F46" s="76"/>
      <c r="G46" s="76"/>
      <c r="H46" s="76"/>
      <c r="I46" s="52">
        <f t="shared" si="3"/>
        <v>70560</v>
      </c>
      <c r="J46" s="76">
        <v>29137.5</v>
      </c>
      <c r="K46" s="122">
        <f t="shared" si="4"/>
        <v>41422.5</v>
      </c>
      <c r="L46" s="132">
        <f t="shared" si="6"/>
        <v>1.2898456906305278E-2</v>
      </c>
      <c r="N46" s="149"/>
    </row>
    <row r="47" spans="1:14">
      <c r="A47" s="60">
        <v>155</v>
      </c>
      <c r="B47" s="54" t="s">
        <v>36</v>
      </c>
      <c r="C47" s="76">
        <v>0</v>
      </c>
      <c r="D47" s="76"/>
      <c r="E47" s="76"/>
      <c r="F47" s="76"/>
      <c r="G47" s="76"/>
      <c r="H47" s="76"/>
      <c r="I47" s="52">
        <f t="shared" si="3"/>
        <v>0</v>
      </c>
      <c r="J47" s="76">
        <v>0</v>
      </c>
      <c r="K47" s="122">
        <f t="shared" si="4"/>
        <v>0</v>
      </c>
      <c r="L47" s="132">
        <f t="shared" si="6"/>
        <v>0</v>
      </c>
      <c r="N47" s="149"/>
    </row>
    <row r="48" spans="1:14">
      <c r="A48" s="60">
        <v>158</v>
      </c>
      <c r="B48" s="54" t="s">
        <v>103</v>
      </c>
      <c r="C48" s="76">
        <v>4000</v>
      </c>
      <c r="D48" s="76">
        <v>2550</v>
      </c>
      <c r="E48" s="76"/>
      <c r="F48" s="76"/>
      <c r="G48" s="76"/>
      <c r="H48" s="76"/>
      <c r="I48" s="52">
        <f>C48+D48-E48+F48-G48</f>
        <v>6550</v>
      </c>
      <c r="J48" s="76">
        <v>5250</v>
      </c>
      <c r="K48" s="122">
        <f t="shared" si="4"/>
        <v>1300</v>
      </c>
      <c r="L48" s="132">
        <f t="shared" si="6"/>
        <v>2.3240462894243744E-3</v>
      </c>
      <c r="N48" s="149"/>
    </row>
    <row r="49" spans="1:14">
      <c r="A49" s="60">
        <v>162</v>
      </c>
      <c r="B49" s="54" t="s">
        <v>58</v>
      </c>
      <c r="C49" s="76">
        <v>1350</v>
      </c>
      <c r="D49" s="76"/>
      <c r="E49" s="76"/>
      <c r="F49" s="76"/>
      <c r="G49" s="76"/>
      <c r="H49" s="76"/>
      <c r="I49" s="52">
        <f t="shared" si="3"/>
        <v>1350</v>
      </c>
      <c r="J49" s="76">
        <v>0</v>
      </c>
      <c r="K49" s="122">
        <f t="shared" si="4"/>
        <v>1350</v>
      </c>
      <c r="L49" s="132">
        <f t="shared" si="6"/>
        <v>0</v>
      </c>
      <c r="N49" s="149"/>
    </row>
    <row r="50" spans="1:14">
      <c r="A50" s="60">
        <v>164</v>
      </c>
      <c r="B50" s="54" t="s">
        <v>45</v>
      </c>
      <c r="C50" s="76">
        <v>12500</v>
      </c>
      <c r="D50" s="76"/>
      <c r="E50" s="76"/>
      <c r="F50" s="76"/>
      <c r="G50" s="76"/>
      <c r="H50" s="76"/>
      <c r="I50" s="52">
        <f t="shared" si="3"/>
        <v>12500</v>
      </c>
      <c r="J50" s="76">
        <v>5250</v>
      </c>
      <c r="K50" s="122">
        <f t="shared" si="4"/>
        <v>7250</v>
      </c>
      <c r="L50" s="132">
        <f t="shared" si="6"/>
        <v>2.3240462894243744E-3</v>
      </c>
      <c r="N50" s="149"/>
    </row>
    <row r="51" spans="1:14">
      <c r="A51" s="60">
        <v>165</v>
      </c>
      <c r="B51" s="54" t="s">
        <v>104</v>
      </c>
      <c r="C51" s="76">
        <v>6900</v>
      </c>
      <c r="D51" s="76"/>
      <c r="E51" s="76"/>
      <c r="F51" s="76"/>
      <c r="G51" s="76"/>
      <c r="H51" s="76"/>
      <c r="I51" s="52">
        <f>C51+D51-E51+F51-G51</f>
        <v>6900</v>
      </c>
      <c r="J51" s="76">
        <v>612.44000000000005</v>
      </c>
      <c r="K51" s="122">
        <f t="shared" si="4"/>
        <v>6287.5599999999995</v>
      </c>
      <c r="L51" s="132">
        <f t="shared" si="6"/>
        <v>2.7111217323715504E-4</v>
      </c>
      <c r="N51" s="149"/>
    </row>
    <row r="52" spans="1:14">
      <c r="A52" s="60"/>
      <c r="B52" s="54"/>
      <c r="C52" s="76"/>
      <c r="D52" s="76"/>
      <c r="E52" s="76"/>
      <c r="F52" s="76"/>
      <c r="G52" s="76"/>
      <c r="H52" s="76"/>
      <c r="I52" s="52"/>
      <c r="J52" s="76"/>
      <c r="K52" s="122"/>
      <c r="L52" s="132"/>
      <c r="N52" s="149"/>
    </row>
    <row r="53" spans="1:14">
      <c r="A53" s="60"/>
      <c r="B53" s="54"/>
      <c r="C53" s="76"/>
      <c r="D53" s="76"/>
      <c r="E53" s="76"/>
      <c r="F53" s="76"/>
      <c r="G53" s="76"/>
      <c r="H53" s="76"/>
      <c r="I53" s="52"/>
      <c r="J53" s="76"/>
      <c r="K53" s="122"/>
      <c r="L53" s="132"/>
      <c r="N53" s="149"/>
    </row>
    <row r="54" spans="1:14">
      <c r="A54" s="60"/>
      <c r="B54" s="54"/>
      <c r="C54" s="76"/>
      <c r="D54" s="76"/>
      <c r="E54" s="76"/>
      <c r="F54" s="76"/>
      <c r="G54" s="76"/>
      <c r="H54" s="76"/>
      <c r="I54" s="52"/>
      <c r="J54" s="76"/>
      <c r="K54" s="122"/>
      <c r="L54" s="132"/>
      <c r="N54" s="149"/>
    </row>
    <row r="55" spans="1:14">
      <c r="A55" s="60"/>
      <c r="B55" s="54"/>
      <c r="C55" s="76"/>
      <c r="D55" s="76"/>
      <c r="E55" s="76"/>
      <c r="F55" s="76"/>
      <c r="G55" s="76"/>
      <c r="H55" s="76"/>
      <c r="I55" s="52"/>
      <c r="J55" s="76"/>
      <c r="K55" s="122"/>
      <c r="L55" s="132"/>
      <c r="N55" s="149"/>
    </row>
    <row r="56" spans="1:14">
      <c r="A56" s="60"/>
      <c r="B56" s="54"/>
      <c r="C56" s="76"/>
      <c r="D56" s="76"/>
      <c r="E56" s="76"/>
      <c r="F56" s="76"/>
      <c r="G56" s="76"/>
      <c r="H56" s="76"/>
      <c r="I56" s="52"/>
      <c r="J56" s="76"/>
      <c r="K56" s="122"/>
      <c r="L56" s="132"/>
      <c r="N56" s="149"/>
    </row>
    <row r="57" spans="1:14">
      <c r="A57" s="60"/>
      <c r="B57" s="54"/>
      <c r="C57" s="76"/>
      <c r="D57" s="76"/>
      <c r="E57" s="76"/>
      <c r="F57" s="76"/>
      <c r="G57" s="76"/>
      <c r="H57" s="76"/>
      <c r="I57" s="52"/>
      <c r="J57" s="76"/>
      <c r="K57" s="122"/>
      <c r="L57" s="132"/>
      <c r="N57" s="149"/>
    </row>
    <row r="58" spans="1:14">
      <c r="A58" s="60"/>
      <c r="B58" s="54"/>
      <c r="C58" s="76"/>
      <c r="D58" s="76"/>
      <c r="E58" s="76"/>
      <c r="F58" s="76"/>
      <c r="G58" s="76"/>
      <c r="H58" s="76"/>
      <c r="I58" s="52"/>
      <c r="J58" s="76"/>
      <c r="K58" s="122"/>
      <c r="L58" s="132"/>
      <c r="N58" s="149"/>
    </row>
    <row r="59" spans="1:14">
      <c r="A59" s="60"/>
      <c r="B59" s="54"/>
      <c r="C59" s="76"/>
      <c r="D59" s="76"/>
      <c r="E59" s="76"/>
      <c r="F59" s="76"/>
      <c r="G59" s="76"/>
      <c r="H59" s="76"/>
      <c r="I59" s="52"/>
      <c r="J59" s="76"/>
      <c r="K59" s="122"/>
      <c r="L59" s="132"/>
      <c r="N59" s="149"/>
    </row>
    <row r="60" spans="1:14">
      <c r="A60" s="60">
        <v>168</v>
      </c>
      <c r="B60" s="54" t="s">
        <v>59</v>
      </c>
      <c r="C60" s="76">
        <v>5500</v>
      </c>
      <c r="D60" s="76"/>
      <c r="E60" s="76"/>
      <c r="F60" s="76"/>
      <c r="G60" s="76"/>
      <c r="H60" s="76"/>
      <c r="I60" s="52">
        <f t="shared" si="3"/>
        <v>5500</v>
      </c>
      <c r="J60" s="76">
        <v>1240</v>
      </c>
      <c r="K60" s="122">
        <f t="shared" si="4"/>
        <v>4260</v>
      </c>
      <c r="L60" s="132">
        <f t="shared" ref="L60:L101" si="7">J60/$J$118</f>
        <v>5.489175997878522E-4</v>
      </c>
      <c r="N60" s="149"/>
    </row>
    <row r="61" spans="1:14">
      <c r="A61" s="60">
        <v>174</v>
      </c>
      <c r="B61" s="54" t="s">
        <v>46</v>
      </c>
      <c r="C61" s="76">
        <v>5000</v>
      </c>
      <c r="D61" s="76"/>
      <c r="E61" s="76"/>
      <c r="F61" s="76"/>
      <c r="G61" s="76"/>
      <c r="H61" s="76"/>
      <c r="I61" s="52">
        <f t="shared" si="3"/>
        <v>5000</v>
      </c>
      <c r="J61" s="76">
        <v>140</v>
      </c>
      <c r="K61" s="122">
        <f t="shared" si="4"/>
        <v>4860</v>
      </c>
      <c r="L61" s="132">
        <f t="shared" si="7"/>
        <v>6.1974567717983315E-5</v>
      </c>
      <c r="N61" s="149"/>
    </row>
    <row r="62" spans="1:14">
      <c r="A62" s="60">
        <v>182</v>
      </c>
      <c r="B62" s="54" t="s">
        <v>61</v>
      </c>
      <c r="C62" s="76">
        <v>0</v>
      </c>
      <c r="D62" s="76"/>
      <c r="E62" s="76"/>
      <c r="F62" s="76"/>
      <c r="G62" s="76"/>
      <c r="H62" s="76"/>
      <c r="I62" s="52">
        <f t="shared" si="3"/>
        <v>0</v>
      </c>
      <c r="J62" s="76">
        <v>0</v>
      </c>
      <c r="K62" s="122">
        <f t="shared" si="4"/>
        <v>0</v>
      </c>
      <c r="L62" s="132">
        <f t="shared" si="7"/>
        <v>0</v>
      </c>
      <c r="N62" s="149"/>
    </row>
    <row r="63" spans="1:14">
      <c r="A63" s="60">
        <v>183</v>
      </c>
      <c r="B63" s="54" t="s">
        <v>105</v>
      </c>
      <c r="C63" s="76">
        <v>160000</v>
      </c>
      <c r="D63" s="76"/>
      <c r="E63" s="76"/>
      <c r="F63" s="76"/>
      <c r="G63" s="76"/>
      <c r="H63" s="76"/>
      <c r="I63" s="52">
        <f>C63+D63-E63+F63-G63</f>
        <v>160000</v>
      </c>
      <c r="J63" s="76">
        <v>24055</v>
      </c>
      <c r="K63" s="122">
        <f t="shared" si="4"/>
        <v>135945</v>
      </c>
      <c r="L63" s="132">
        <f t="shared" si="7"/>
        <v>1.0648558760400634E-2</v>
      </c>
      <c r="N63" s="149"/>
    </row>
    <row r="64" spans="1:14">
      <c r="A64" s="60">
        <v>184</v>
      </c>
      <c r="B64" s="54" t="s">
        <v>106</v>
      </c>
      <c r="C64" s="76">
        <v>42000</v>
      </c>
      <c r="D64" s="76"/>
      <c r="E64" s="76"/>
      <c r="F64" s="76"/>
      <c r="G64" s="76"/>
      <c r="H64" s="76"/>
      <c r="I64" s="52">
        <f t="shared" si="3"/>
        <v>42000</v>
      </c>
      <c r="J64" s="76">
        <v>14865.47</v>
      </c>
      <c r="K64" s="122">
        <f t="shared" si="4"/>
        <v>27134.53</v>
      </c>
      <c r="L64" s="132">
        <f t="shared" si="7"/>
        <v>6.5805791226760668E-3</v>
      </c>
      <c r="N64" s="149"/>
    </row>
    <row r="65" spans="1:14">
      <c r="A65" s="60">
        <v>185</v>
      </c>
      <c r="B65" s="54" t="s">
        <v>107</v>
      </c>
      <c r="C65" s="76">
        <v>69000</v>
      </c>
      <c r="D65" s="76"/>
      <c r="E65" s="76"/>
      <c r="F65" s="76"/>
      <c r="G65" s="76"/>
      <c r="H65" s="76"/>
      <c r="I65" s="52">
        <f>C65+D65-E65+F65-G65</f>
        <v>69000</v>
      </c>
      <c r="J65" s="76">
        <v>0</v>
      </c>
      <c r="K65" s="122">
        <f t="shared" si="4"/>
        <v>69000</v>
      </c>
      <c r="L65" s="132">
        <f t="shared" si="7"/>
        <v>0</v>
      </c>
      <c r="N65" s="149"/>
    </row>
    <row r="66" spans="1:14">
      <c r="A66" s="60">
        <v>186</v>
      </c>
      <c r="B66" s="54" t="s">
        <v>47</v>
      </c>
      <c r="C66" s="76">
        <v>2000</v>
      </c>
      <c r="D66" s="76"/>
      <c r="E66" s="76"/>
      <c r="F66" s="76"/>
      <c r="G66" s="76"/>
      <c r="H66" s="76"/>
      <c r="I66" s="52">
        <f t="shared" si="3"/>
        <v>2000</v>
      </c>
      <c r="J66" s="76">
        <v>930</v>
      </c>
      <c r="K66" s="122">
        <f t="shared" si="4"/>
        <v>1070</v>
      </c>
      <c r="L66" s="132">
        <f t="shared" si="7"/>
        <v>4.1168819984088918E-4</v>
      </c>
      <c r="N66" s="149"/>
    </row>
    <row r="67" spans="1:14">
      <c r="A67" s="60">
        <v>187</v>
      </c>
      <c r="B67" s="54" t="s">
        <v>108</v>
      </c>
      <c r="C67" s="76">
        <v>51600</v>
      </c>
      <c r="D67" s="76"/>
      <c r="E67" s="76"/>
      <c r="F67" s="76"/>
      <c r="G67" s="76"/>
      <c r="H67" s="76"/>
      <c r="I67" s="52">
        <f>C67+D67-E67+F67-G67</f>
        <v>51600</v>
      </c>
      <c r="J67" s="76">
        <v>2000</v>
      </c>
      <c r="K67" s="122">
        <f t="shared" si="4"/>
        <v>49600</v>
      </c>
      <c r="L67" s="132">
        <f t="shared" si="7"/>
        <v>8.8535096739976167E-4</v>
      </c>
      <c r="N67" s="149"/>
    </row>
    <row r="68" spans="1:14">
      <c r="A68" s="60">
        <v>188</v>
      </c>
      <c r="B68" s="54" t="s">
        <v>109</v>
      </c>
      <c r="C68" s="76">
        <v>0</v>
      </c>
      <c r="D68" s="76"/>
      <c r="E68" s="76"/>
      <c r="F68" s="76"/>
      <c r="G68" s="76"/>
      <c r="H68" s="76"/>
      <c r="I68" s="52">
        <f t="shared" si="3"/>
        <v>0</v>
      </c>
      <c r="J68" s="76">
        <v>0</v>
      </c>
      <c r="K68" s="122">
        <f t="shared" si="4"/>
        <v>0</v>
      </c>
      <c r="L68" s="132">
        <f t="shared" si="7"/>
        <v>0</v>
      </c>
      <c r="N68" s="149"/>
    </row>
    <row r="69" spans="1:14">
      <c r="A69" s="60">
        <v>189</v>
      </c>
      <c r="B69" s="54" t="s">
        <v>110</v>
      </c>
      <c r="C69" s="76">
        <v>0</v>
      </c>
      <c r="D69" s="76">
        <v>275000</v>
      </c>
      <c r="E69" s="76"/>
      <c r="F69" s="76"/>
      <c r="G69" s="76"/>
      <c r="H69" s="76"/>
      <c r="I69" s="52">
        <f>C69+D69-E69+F69-G69</f>
        <v>275000</v>
      </c>
      <c r="J69" s="76">
        <v>26129.02</v>
      </c>
      <c r="K69" s="122">
        <f t="shared" si="4"/>
        <v>248870.98</v>
      </c>
      <c r="L69" s="132">
        <f t="shared" si="7"/>
        <v>1.156667656710386E-2</v>
      </c>
      <c r="N69" s="149"/>
    </row>
    <row r="70" spans="1:14">
      <c r="A70" s="60">
        <v>191</v>
      </c>
      <c r="B70" s="54" t="s">
        <v>111</v>
      </c>
      <c r="C70" s="76">
        <v>9000</v>
      </c>
      <c r="D70" s="76">
        <v>4000</v>
      </c>
      <c r="E70" s="76"/>
      <c r="F70" s="76"/>
      <c r="G70" s="76"/>
      <c r="H70" s="76"/>
      <c r="I70" s="52">
        <f t="shared" si="3"/>
        <v>13000</v>
      </c>
      <c r="J70" s="76">
        <v>0</v>
      </c>
      <c r="K70" s="122">
        <f t="shared" si="4"/>
        <v>13000</v>
      </c>
      <c r="L70" s="132">
        <f t="shared" si="7"/>
        <v>0</v>
      </c>
      <c r="N70" s="149"/>
    </row>
    <row r="71" spans="1:14">
      <c r="A71" s="60">
        <v>194</v>
      </c>
      <c r="B71" s="54" t="s">
        <v>112</v>
      </c>
      <c r="C71" s="76">
        <v>1080</v>
      </c>
      <c r="D71" s="76">
        <v>5000</v>
      </c>
      <c r="E71" s="76"/>
      <c r="F71" s="76"/>
      <c r="G71" s="76"/>
      <c r="H71" s="76"/>
      <c r="I71" s="52">
        <f>C71+D71-E71+F71-G71</f>
        <v>6080</v>
      </c>
      <c r="J71" s="76">
        <v>586.80999999999995</v>
      </c>
      <c r="K71" s="122">
        <f t="shared" si="4"/>
        <v>5493.1900000000005</v>
      </c>
      <c r="L71" s="132">
        <f t="shared" si="7"/>
        <v>2.5976640058992704E-4</v>
      </c>
      <c r="N71" s="149"/>
    </row>
    <row r="72" spans="1:14">
      <c r="A72" s="60">
        <v>195</v>
      </c>
      <c r="B72" s="54" t="s">
        <v>37</v>
      </c>
      <c r="C72" s="76">
        <v>10000</v>
      </c>
      <c r="D72" s="76"/>
      <c r="E72" s="76"/>
      <c r="F72" s="76"/>
      <c r="G72" s="76"/>
      <c r="H72" s="76"/>
      <c r="I72" s="52">
        <f t="shared" si="3"/>
        <v>10000</v>
      </c>
      <c r="J72" s="76">
        <v>717.35</v>
      </c>
      <c r="K72" s="122">
        <f t="shared" si="4"/>
        <v>9282.65</v>
      </c>
      <c r="L72" s="132">
        <f t="shared" si="7"/>
        <v>3.1755325823210951E-4</v>
      </c>
      <c r="N72" s="149"/>
    </row>
    <row r="73" spans="1:14">
      <c r="A73" s="60">
        <v>196</v>
      </c>
      <c r="B73" s="54" t="s">
        <v>113</v>
      </c>
      <c r="C73" s="76">
        <v>31300</v>
      </c>
      <c r="D73" s="76"/>
      <c r="E73" s="76"/>
      <c r="F73" s="76"/>
      <c r="G73" s="76"/>
      <c r="H73" s="76"/>
      <c r="I73" s="52">
        <f>C73+D73-E73+F73-G73</f>
        <v>31300</v>
      </c>
      <c r="J73" s="76">
        <v>0</v>
      </c>
      <c r="K73" s="122">
        <f t="shared" si="4"/>
        <v>31300</v>
      </c>
      <c r="L73" s="132">
        <f t="shared" si="7"/>
        <v>0</v>
      </c>
      <c r="N73" s="149"/>
    </row>
    <row r="74" spans="1:14">
      <c r="A74" s="60">
        <v>199</v>
      </c>
      <c r="B74" s="54" t="s">
        <v>60</v>
      </c>
      <c r="C74" s="76">
        <v>26043.75</v>
      </c>
      <c r="D74" s="76"/>
      <c r="E74" s="76"/>
      <c r="F74" s="76"/>
      <c r="G74" s="76"/>
      <c r="H74" s="76"/>
      <c r="I74" s="52">
        <f t="shared" si="3"/>
        <v>26043.75</v>
      </c>
      <c r="J74" s="76">
        <v>1763.5</v>
      </c>
      <c r="K74" s="122">
        <f t="shared" si="4"/>
        <v>24280.25</v>
      </c>
      <c r="L74" s="132">
        <f t="shared" si="7"/>
        <v>7.8065821550473986E-4</v>
      </c>
      <c r="N74" s="149"/>
    </row>
    <row r="75" spans="1:14">
      <c r="A75" s="59">
        <v>2</v>
      </c>
      <c r="B75" s="59" t="s">
        <v>11</v>
      </c>
      <c r="C75" s="76"/>
      <c r="D75" s="76"/>
      <c r="E75" s="76"/>
      <c r="F75" s="76"/>
      <c r="G75" s="76"/>
      <c r="H75" s="76"/>
      <c r="I75" s="52"/>
      <c r="J75" s="105"/>
      <c r="K75" s="122"/>
      <c r="L75" s="132">
        <f t="shared" si="7"/>
        <v>0</v>
      </c>
      <c r="N75" s="149"/>
    </row>
    <row r="76" spans="1:14">
      <c r="A76" s="60">
        <v>211</v>
      </c>
      <c r="B76" s="54" t="s">
        <v>24</v>
      </c>
      <c r="C76" s="76">
        <v>66744.479999999996</v>
      </c>
      <c r="D76" s="76"/>
      <c r="E76" s="76"/>
      <c r="F76" s="76"/>
      <c r="G76" s="76"/>
      <c r="H76" s="76"/>
      <c r="I76" s="52">
        <f t="shared" si="3"/>
        <v>66744.479999999996</v>
      </c>
      <c r="J76" s="76">
        <v>21779.8</v>
      </c>
      <c r="K76" s="122">
        <f t="shared" si="4"/>
        <v>44964.679999999993</v>
      </c>
      <c r="L76" s="132">
        <f t="shared" si="7"/>
        <v>9.6413834998866649E-3</v>
      </c>
      <c r="N76" s="149"/>
    </row>
    <row r="77" spans="1:14">
      <c r="A77" s="60">
        <v>219</v>
      </c>
      <c r="B77" s="54" t="s">
        <v>25</v>
      </c>
      <c r="C77" s="76">
        <v>0</v>
      </c>
      <c r="D77" s="76"/>
      <c r="E77" s="76"/>
      <c r="F77" s="76"/>
      <c r="G77" s="76"/>
      <c r="H77" s="76"/>
      <c r="I77" s="52">
        <f t="shared" si="3"/>
        <v>0</v>
      </c>
      <c r="J77" s="76">
        <v>0</v>
      </c>
      <c r="K77" s="122">
        <f t="shared" si="4"/>
        <v>0</v>
      </c>
      <c r="L77" s="132">
        <f t="shared" si="7"/>
        <v>0</v>
      </c>
      <c r="N77" s="149"/>
    </row>
    <row r="78" spans="1:14">
      <c r="A78" s="60">
        <v>232</v>
      </c>
      <c r="B78" s="54" t="s">
        <v>62</v>
      </c>
      <c r="C78" s="76">
        <v>1140</v>
      </c>
      <c r="D78" s="76"/>
      <c r="E78" s="76"/>
      <c r="F78" s="76"/>
      <c r="G78" s="76"/>
      <c r="H78" s="76"/>
      <c r="I78" s="52">
        <f t="shared" si="3"/>
        <v>1140</v>
      </c>
      <c r="J78" s="76">
        <v>260</v>
      </c>
      <c r="K78" s="122">
        <f t="shared" si="4"/>
        <v>880</v>
      </c>
      <c r="L78" s="132">
        <f t="shared" si="7"/>
        <v>1.1509562576196901E-4</v>
      </c>
      <c r="N78" s="149"/>
    </row>
    <row r="79" spans="1:14">
      <c r="A79" s="60">
        <v>233</v>
      </c>
      <c r="B79" s="54" t="s">
        <v>75</v>
      </c>
      <c r="C79" s="76">
        <v>58000</v>
      </c>
      <c r="D79" s="76"/>
      <c r="E79" s="76"/>
      <c r="F79" s="76"/>
      <c r="G79" s="76"/>
      <c r="H79" s="76"/>
      <c r="I79" s="52">
        <f t="shared" si="3"/>
        <v>58000</v>
      </c>
      <c r="J79" s="76">
        <v>0</v>
      </c>
      <c r="K79" s="122">
        <f t="shared" si="4"/>
        <v>58000</v>
      </c>
      <c r="L79" s="132">
        <f t="shared" si="7"/>
        <v>0</v>
      </c>
      <c r="N79" s="149"/>
    </row>
    <row r="80" spans="1:14">
      <c r="A80" s="60">
        <v>241</v>
      </c>
      <c r="B80" s="54" t="s">
        <v>63</v>
      </c>
      <c r="C80" s="76">
        <v>3000</v>
      </c>
      <c r="D80" s="76">
        <v>3500</v>
      </c>
      <c r="E80" s="76"/>
      <c r="F80" s="76"/>
      <c r="G80" s="76"/>
      <c r="H80" s="76"/>
      <c r="I80" s="52">
        <f t="shared" si="3"/>
        <v>6500</v>
      </c>
      <c r="J80" s="76">
        <v>4286.2</v>
      </c>
      <c r="K80" s="122">
        <f t="shared" si="4"/>
        <v>2213.8000000000002</v>
      </c>
      <c r="L80" s="132">
        <f t="shared" si="7"/>
        <v>1.8973956582344291E-3</v>
      </c>
      <c r="N80" s="149"/>
    </row>
    <row r="81" spans="1:14">
      <c r="A81" s="60">
        <v>243</v>
      </c>
      <c r="B81" s="54" t="s">
        <v>48</v>
      </c>
      <c r="C81" s="76">
        <v>350</v>
      </c>
      <c r="D81" s="76"/>
      <c r="E81" s="76"/>
      <c r="F81" s="76"/>
      <c r="G81" s="76"/>
      <c r="H81" s="76"/>
      <c r="I81" s="52">
        <f t="shared" si="3"/>
        <v>350</v>
      </c>
      <c r="J81" s="76">
        <v>64</v>
      </c>
      <c r="K81" s="122">
        <f t="shared" si="4"/>
        <v>286</v>
      </c>
      <c r="L81" s="132">
        <f t="shared" si="7"/>
        <v>2.8331230956792374E-5</v>
      </c>
      <c r="N81" s="149"/>
    </row>
    <row r="82" spans="1:14">
      <c r="A82" s="60">
        <v>244</v>
      </c>
      <c r="B82" s="54" t="s">
        <v>49</v>
      </c>
      <c r="C82" s="76">
        <v>1000</v>
      </c>
      <c r="D82" s="76"/>
      <c r="E82" s="76"/>
      <c r="F82" s="76"/>
      <c r="G82" s="76"/>
      <c r="H82" s="76"/>
      <c r="I82" s="52">
        <f t="shared" si="3"/>
        <v>1000</v>
      </c>
      <c r="J82" s="76">
        <v>240</v>
      </c>
      <c r="K82" s="122">
        <f t="shared" si="4"/>
        <v>760</v>
      </c>
      <c r="L82" s="132">
        <f t="shared" si="7"/>
        <v>1.0624211608797139E-4</v>
      </c>
      <c r="N82" s="149"/>
    </row>
    <row r="83" spans="1:14">
      <c r="A83" s="60">
        <v>245</v>
      </c>
      <c r="B83" s="54" t="s">
        <v>50</v>
      </c>
      <c r="C83" s="76">
        <v>1305</v>
      </c>
      <c r="D83" s="76"/>
      <c r="E83" s="76"/>
      <c r="F83" s="76"/>
      <c r="G83" s="76"/>
      <c r="H83" s="76"/>
      <c r="I83" s="52">
        <f t="shared" si="3"/>
        <v>1305</v>
      </c>
      <c r="J83" s="76">
        <v>0</v>
      </c>
      <c r="K83" s="122">
        <f t="shared" si="4"/>
        <v>1305</v>
      </c>
      <c r="L83" s="132">
        <f t="shared" si="7"/>
        <v>0</v>
      </c>
      <c r="N83" s="149"/>
    </row>
    <row r="84" spans="1:14">
      <c r="A84" s="60">
        <v>253</v>
      </c>
      <c r="B84" s="54" t="s">
        <v>41</v>
      </c>
      <c r="C84" s="76">
        <v>2500</v>
      </c>
      <c r="D84" s="76"/>
      <c r="E84" s="76"/>
      <c r="F84" s="76"/>
      <c r="G84" s="76"/>
      <c r="H84" s="76"/>
      <c r="I84" s="52">
        <f t="shared" si="3"/>
        <v>2500</v>
      </c>
      <c r="J84" s="76">
        <v>0</v>
      </c>
      <c r="K84" s="122">
        <f t="shared" si="4"/>
        <v>2500</v>
      </c>
      <c r="L84" s="132">
        <f t="shared" si="7"/>
        <v>0</v>
      </c>
      <c r="N84" s="149"/>
    </row>
    <row r="85" spans="1:14">
      <c r="A85" s="60">
        <v>254</v>
      </c>
      <c r="B85" s="54" t="s">
        <v>51</v>
      </c>
      <c r="C85" s="76">
        <v>200</v>
      </c>
      <c r="D85" s="76">
        <v>500</v>
      </c>
      <c r="E85" s="76"/>
      <c r="F85" s="76"/>
      <c r="G85" s="76"/>
      <c r="H85" s="76"/>
      <c r="I85" s="52">
        <f t="shared" si="3"/>
        <v>700</v>
      </c>
      <c r="J85" s="76">
        <v>270</v>
      </c>
      <c r="K85" s="122">
        <f t="shared" si="4"/>
        <v>430</v>
      </c>
      <c r="L85" s="132">
        <f t="shared" si="7"/>
        <v>1.1952238059896783E-4</v>
      </c>
      <c r="N85" s="149"/>
    </row>
    <row r="86" spans="1:14">
      <c r="A86" s="60">
        <v>262</v>
      </c>
      <c r="B86" s="54" t="s">
        <v>64</v>
      </c>
      <c r="C86" s="76">
        <v>9770</v>
      </c>
      <c r="D86" s="76"/>
      <c r="E86" s="76"/>
      <c r="F86" s="76"/>
      <c r="G86" s="76"/>
      <c r="H86" s="76"/>
      <c r="I86" s="52">
        <f t="shared" si="3"/>
        <v>9770</v>
      </c>
      <c r="J86" s="76">
        <v>2935.42</v>
      </c>
      <c r="K86" s="122">
        <f t="shared" si="4"/>
        <v>6834.58</v>
      </c>
      <c r="L86" s="132">
        <f t="shared" si="7"/>
        <v>1.2994384683623042E-3</v>
      </c>
      <c r="N86" s="149"/>
    </row>
    <row r="87" spans="1:14">
      <c r="A87" s="60">
        <v>266</v>
      </c>
      <c r="B87" s="54" t="s">
        <v>65</v>
      </c>
      <c r="C87" s="76">
        <v>600</v>
      </c>
      <c r="D87" s="76"/>
      <c r="E87" s="76"/>
      <c r="F87" s="76"/>
      <c r="G87" s="76"/>
      <c r="H87" s="76"/>
      <c r="I87" s="52">
        <f t="shared" si="3"/>
        <v>600</v>
      </c>
      <c r="J87" s="76">
        <v>117.55000000000001</v>
      </c>
      <c r="K87" s="122">
        <f t="shared" si="4"/>
        <v>482.45</v>
      </c>
      <c r="L87" s="132">
        <f t="shared" si="7"/>
        <v>5.2036503108920994E-5</v>
      </c>
      <c r="N87" s="149"/>
    </row>
    <row r="88" spans="1:14">
      <c r="A88" s="60">
        <v>267</v>
      </c>
      <c r="B88" s="54" t="s">
        <v>93</v>
      </c>
      <c r="C88" s="76">
        <v>15000</v>
      </c>
      <c r="D88" s="76"/>
      <c r="E88" s="76"/>
      <c r="F88" s="76"/>
      <c r="G88" s="76"/>
      <c r="H88" s="76"/>
      <c r="I88" s="52">
        <f t="shared" si="3"/>
        <v>15000</v>
      </c>
      <c r="J88" s="76">
        <v>9212</v>
      </c>
      <c r="K88" s="122">
        <f t="shared" si="4"/>
        <v>5788</v>
      </c>
      <c r="L88" s="132">
        <f t="shared" si="7"/>
        <v>4.0779265558433019E-3</v>
      </c>
      <c r="N88" s="149"/>
    </row>
    <row r="89" spans="1:14">
      <c r="A89" s="60">
        <v>268</v>
      </c>
      <c r="B89" s="54" t="s">
        <v>66</v>
      </c>
      <c r="C89" s="76">
        <v>1858</v>
      </c>
      <c r="D89" s="76"/>
      <c r="E89" s="76"/>
      <c r="F89" s="76"/>
      <c r="G89" s="76"/>
      <c r="H89" s="76"/>
      <c r="I89" s="52">
        <f t="shared" si="3"/>
        <v>1858</v>
      </c>
      <c r="J89" s="76">
        <v>904.15000000000009</v>
      </c>
      <c r="K89" s="122">
        <f t="shared" si="4"/>
        <v>953.84999999999991</v>
      </c>
      <c r="L89" s="132">
        <f t="shared" si="7"/>
        <v>4.002450385872473E-4</v>
      </c>
      <c r="N89" s="149"/>
    </row>
    <row r="90" spans="1:14">
      <c r="A90" s="60">
        <v>269</v>
      </c>
      <c r="B90" s="54" t="s">
        <v>67</v>
      </c>
      <c r="C90" s="76">
        <v>500</v>
      </c>
      <c r="D90" s="76"/>
      <c r="E90" s="76"/>
      <c r="F90" s="76"/>
      <c r="G90" s="76"/>
      <c r="H90" s="76"/>
      <c r="I90" s="52">
        <f t="shared" si="3"/>
        <v>500</v>
      </c>
      <c r="J90" s="76">
        <v>0</v>
      </c>
      <c r="K90" s="122">
        <f t="shared" si="4"/>
        <v>500</v>
      </c>
      <c r="L90" s="132">
        <f t="shared" si="7"/>
        <v>0</v>
      </c>
      <c r="N90" s="149"/>
    </row>
    <row r="91" spans="1:14">
      <c r="A91" s="60">
        <v>271</v>
      </c>
      <c r="B91" s="54" t="s">
        <v>68</v>
      </c>
      <c r="C91" s="76">
        <v>381250</v>
      </c>
      <c r="D91" s="76"/>
      <c r="E91" s="76"/>
      <c r="F91" s="99"/>
      <c r="G91" s="76"/>
      <c r="H91" s="76"/>
      <c r="I91" s="52">
        <f t="shared" si="3"/>
        <v>381250</v>
      </c>
      <c r="J91" s="76">
        <v>0</v>
      </c>
      <c r="K91" s="122">
        <f t="shared" si="4"/>
        <v>381250</v>
      </c>
      <c r="L91" s="132">
        <f t="shared" si="7"/>
        <v>0</v>
      </c>
      <c r="N91" s="149"/>
    </row>
    <row r="92" spans="1:14">
      <c r="A92" s="60">
        <v>283</v>
      </c>
      <c r="B92" s="54" t="s">
        <v>69</v>
      </c>
      <c r="C92" s="76">
        <v>1000</v>
      </c>
      <c r="D92" s="76"/>
      <c r="E92" s="76"/>
      <c r="F92" s="76"/>
      <c r="G92" s="76"/>
      <c r="H92" s="76"/>
      <c r="I92" s="52">
        <f t="shared" si="3"/>
        <v>1000</v>
      </c>
      <c r="J92" s="76">
        <v>31.2</v>
      </c>
      <c r="K92" s="122">
        <f t="shared" si="4"/>
        <v>968.8</v>
      </c>
      <c r="L92" s="132">
        <f t="shared" si="7"/>
        <v>1.3811475091436281E-5</v>
      </c>
      <c r="N92" s="149"/>
    </row>
    <row r="93" spans="1:14">
      <c r="A93" s="60">
        <v>284</v>
      </c>
      <c r="B93" s="54" t="s">
        <v>52</v>
      </c>
      <c r="C93" s="76">
        <v>5000</v>
      </c>
      <c r="D93" s="76">
        <v>7000</v>
      </c>
      <c r="E93" s="76"/>
      <c r="F93" s="76"/>
      <c r="G93" s="76"/>
      <c r="H93" s="76"/>
      <c r="I93" s="52">
        <f t="shared" si="3"/>
        <v>12000</v>
      </c>
      <c r="J93" s="76">
        <v>344.23</v>
      </c>
      <c r="K93" s="122">
        <f t="shared" ref="K93:K101" si="8">I93-J93</f>
        <v>11655.77</v>
      </c>
      <c r="L93" s="132">
        <f t="shared" si="7"/>
        <v>1.5238218175400999E-4</v>
      </c>
      <c r="N93" s="149"/>
    </row>
    <row r="94" spans="1:14">
      <c r="A94" s="60">
        <v>285</v>
      </c>
      <c r="B94" s="54" t="s">
        <v>128</v>
      </c>
      <c r="C94" s="76">
        <v>1516915</v>
      </c>
      <c r="D94" s="76"/>
      <c r="E94" s="76">
        <v>476000</v>
      </c>
      <c r="F94" s="76"/>
      <c r="G94" s="76"/>
      <c r="H94" s="76"/>
      <c r="I94" s="52">
        <f t="shared" si="3"/>
        <v>1040915</v>
      </c>
      <c r="J94" s="76">
        <v>0</v>
      </c>
      <c r="K94" s="122">
        <f t="shared" si="8"/>
        <v>1040915</v>
      </c>
      <c r="L94" s="132">
        <f t="shared" si="7"/>
        <v>0</v>
      </c>
      <c r="N94" s="149"/>
    </row>
    <row r="95" spans="1:14">
      <c r="A95" s="60">
        <v>291</v>
      </c>
      <c r="B95" s="54" t="s">
        <v>70</v>
      </c>
      <c r="C95" s="76">
        <v>6500</v>
      </c>
      <c r="D95" s="76">
        <v>2500</v>
      </c>
      <c r="E95" s="76"/>
      <c r="F95" s="76"/>
      <c r="G95" s="76"/>
      <c r="H95" s="76"/>
      <c r="I95" s="52">
        <f t="shared" si="3"/>
        <v>9000</v>
      </c>
      <c r="J95" s="76">
        <v>4168.37</v>
      </c>
      <c r="K95" s="122">
        <f t="shared" si="8"/>
        <v>4831.63</v>
      </c>
      <c r="L95" s="132">
        <f t="shared" si="7"/>
        <v>1.8452352059900722E-3</v>
      </c>
      <c r="N95" s="149"/>
    </row>
    <row r="96" spans="1:14">
      <c r="A96" s="60">
        <v>292</v>
      </c>
      <c r="B96" s="54" t="s">
        <v>71</v>
      </c>
      <c r="C96" s="76">
        <v>1300</v>
      </c>
      <c r="D96" s="76">
        <v>500</v>
      </c>
      <c r="E96" s="76"/>
      <c r="F96" s="76"/>
      <c r="G96" s="76"/>
      <c r="H96" s="76"/>
      <c r="I96" s="52">
        <f t="shared" si="3"/>
        <v>1800</v>
      </c>
      <c r="J96" s="76">
        <v>445.90999999999997</v>
      </c>
      <c r="K96" s="122">
        <f t="shared" si="8"/>
        <v>1354.0900000000001</v>
      </c>
      <c r="L96" s="132">
        <f t="shared" si="7"/>
        <v>1.9739342493661384E-4</v>
      </c>
      <c r="N96" s="149"/>
    </row>
    <row r="97" spans="1:14">
      <c r="A97" s="60">
        <v>294</v>
      </c>
      <c r="B97" s="54" t="s">
        <v>72</v>
      </c>
      <c r="C97" s="76">
        <v>65000</v>
      </c>
      <c r="D97" s="98"/>
      <c r="E97" s="98"/>
      <c r="F97" s="98"/>
      <c r="G97" s="98"/>
      <c r="H97" s="98"/>
      <c r="I97" s="52">
        <f t="shared" si="3"/>
        <v>65000</v>
      </c>
      <c r="J97" s="76">
        <v>18270.95</v>
      </c>
      <c r="K97" s="122">
        <f t="shared" si="8"/>
        <v>46729.05</v>
      </c>
      <c r="L97" s="132">
        <f t="shared" si="7"/>
        <v>8.088101628906337E-3</v>
      </c>
      <c r="N97" s="149"/>
    </row>
    <row r="98" spans="1:14">
      <c r="A98" s="60">
        <v>296</v>
      </c>
      <c r="B98" s="54" t="s">
        <v>114</v>
      </c>
      <c r="C98" s="76">
        <v>800</v>
      </c>
      <c r="D98" s="76"/>
      <c r="E98" s="76"/>
      <c r="F98" s="76"/>
      <c r="G98" s="76"/>
      <c r="H98" s="76"/>
      <c r="I98" s="52">
        <f>C98+D98-E98+F98-G98</f>
        <v>800</v>
      </c>
      <c r="J98" s="76">
        <v>0</v>
      </c>
      <c r="K98" s="122">
        <f t="shared" si="8"/>
        <v>800</v>
      </c>
      <c r="L98" s="132">
        <f t="shared" si="7"/>
        <v>0</v>
      </c>
      <c r="N98" s="149"/>
    </row>
    <row r="99" spans="1:14">
      <c r="A99" s="60">
        <v>297</v>
      </c>
      <c r="B99" s="54" t="s">
        <v>73</v>
      </c>
      <c r="C99" s="76">
        <v>800</v>
      </c>
      <c r="D99" s="76"/>
      <c r="E99" s="76"/>
      <c r="F99" s="76"/>
      <c r="G99" s="76"/>
      <c r="H99" s="76"/>
      <c r="I99" s="52">
        <f t="shared" si="3"/>
        <v>800</v>
      </c>
      <c r="J99" s="76">
        <v>0</v>
      </c>
      <c r="K99" s="122">
        <f t="shared" si="8"/>
        <v>800</v>
      </c>
      <c r="L99" s="132">
        <f t="shared" si="7"/>
        <v>0</v>
      </c>
      <c r="N99" s="149"/>
    </row>
    <row r="100" spans="1:14">
      <c r="A100" s="60">
        <v>298</v>
      </c>
      <c r="B100" s="54" t="s">
        <v>26</v>
      </c>
      <c r="C100" s="76">
        <v>20000</v>
      </c>
      <c r="D100" s="98"/>
      <c r="E100" s="98"/>
      <c r="F100" s="76"/>
      <c r="G100" s="76"/>
      <c r="H100" s="76"/>
      <c r="I100" s="52">
        <f t="shared" si="3"/>
        <v>20000</v>
      </c>
      <c r="J100" s="76">
        <v>3028.94</v>
      </c>
      <c r="K100" s="122">
        <f t="shared" si="8"/>
        <v>16971.060000000001</v>
      </c>
      <c r="L100" s="132">
        <f t="shared" si="7"/>
        <v>1.340837479597917E-3</v>
      </c>
      <c r="N100" s="149"/>
    </row>
    <row r="101" spans="1:14">
      <c r="A101" s="60">
        <v>299</v>
      </c>
      <c r="B101" s="54" t="s">
        <v>74</v>
      </c>
      <c r="C101" s="76">
        <v>15000</v>
      </c>
      <c r="D101" s="98"/>
      <c r="E101" s="98"/>
      <c r="F101" s="98"/>
      <c r="G101" s="98"/>
      <c r="H101" s="98"/>
      <c r="I101" s="52">
        <f t="shared" si="3"/>
        <v>15000</v>
      </c>
      <c r="J101" s="76">
        <v>4930.6100000000006</v>
      </c>
      <c r="K101" s="122">
        <f t="shared" si="8"/>
        <v>10069.39</v>
      </c>
      <c r="L101" s="132">
        <f t="shared" si="7"/>
        <v>2.1826601666854696E-3</v>
      </c>
      <c r="N101" s="149"/>
    </row>
    <row r="102" spans="1:14">
      <c r="A102" s="59">
        <v>3</v>
      </c>
      <c r="B102" s="59" t="s">
        <v>12</v>
      </c>
      <c r="C102" s="76"/>
      <c r="D102" s="76"/>
      <c r="E102" s="76"/>
      <c r="F102" s="76"/>
      <c r="G102" s="76"/>
      <c r="H102" s="76"/>
      <c r="I102" s="52"/>
      <c r="J102" s="105"/>
      <c r="K102" s="122"/>
      <c r="L102" s="132"/>
      <c r="N102" s="149"/>
    </row>
    <row r="103" spans="1:14">
      <c r="A103" s="60">
        <v>322</v>
      </c>
      <c r="B103" s="54" t="s">
        <v>88</v>
      </c>
      <c r="C103" s="76">
        <v>32000</v>
      </c>
      <c r="D103" s="76"/>
      <c r="E103" s="76"/>
      <c r="F103" s="76"/>
      <c r="G103" s="76"/>
      <c r="H103" s="76"/>
      <c r="I103" s="52">
        <f t="shared" si="3"/>
        <v>32000</v>
      </c>
      <c r="J103" s="76">
        <v>11745.98</v>
      </c>
      <c r="K103" s="122">
        <f t="shared" ref="K103:K116" si="9">I103-J103</f>
        <v>20254.02</v>
      </c>
      <c r="L103" s="132">
        <f>J103/$J$118</f>
        <v>5.1996573780291261E-3</v>
      </c>
      <c r="N103" s="149"/>
    </row>
    <row r="104" spans="1:14">
      <c r="A104" s="60">
        <v>323</v>
      </c>
      <c r="B104" s="54" t="s">
        <v>140</v>
      </c>
      <c r="C104" s="76">
        <v>3000</v>
      </c>
      <c r="D104" s="76"/>
      <c r="E104" s="76"/>
      <c r="F104" s="76"/>
      <c r="G104" s="76"/>
      <c r="H104" s="76"/>
      <c r="I104" s="52">
        <f t="shared" si="3"/>
        <v>3000</v>
      </c>
      <c r="J104" s="76">
        <v>0</v>
      </c>
      <c r="K104" s="122">
        <f t="shared" si="9"/>
        <v>3000</v>
      </c>
      <c r="L104" s="132">
        <f>J104/$J$118</f>
        <v>0</v>
      </c>
      <c r="N104" s="149"/>
    </row>
    <row r="105" spans="1:14">
      <c r="A105" s="60">
        <v>324</v>
      </c>
      <c r="B105" s="54" t="s">
        <v>141</v>
      </c>
      <c r="C105" s="76">
        <v>116220</v>
      </c>
      <c r="D105" s="76"/>
      <c r="E105" s="76"/>
      <c r="F105" s="76"/>
      <c r="G105" s="76"/>
      <c r="H105" s="76"/>
      <c r="I105" s="52">
        <f t="shared" si="3"/>
        <v>116220</v>
      </c>
      <c r="J105" s="76">
        <v>11100</v>
      </c>
      <c r="K105" s="122">
        <f t="shared" si="9"/>
        <v>105120</v>
      </c>
      <c r="L105" s="132">
        <f>J105/$J$118</f>
        <v>4.9136978690686771E-3</v>
      </c>
      <c r="N105" s="149"/>
    </row>
    <row r="106" spans="1:14">
      <c r="A106" s="60">
        <v>328</v>
      </c>
      <c r="B106" s="54" t="s">
        <v>89</v>
      </c>
      <c r="C106" s="76">
        <v>18000</v>
      </c>
      <c r="D106" s="76"/>
      <c r="E106" s="76"/>
      <c r="F106" s="76"/>
      <c r="G106" s="76"/>
      <c r="H106" s="76"/>
      <c r="I106" s="52">
        <f t="shared" si="3"/>
        <v>18000</v>
      </c>
      <c r="J106" s="76">
        <v>11820</v>
      </c>
      <c r="K106" s="122">
        <f t="shared" si="9"/>
        <v>6180</v>
      </c>
      <c r="L106" s="132">
        <f>J106/$J$118</f>
        <v>5.2324242173325914E-3</v>
      </c>
      <c r="N106" s="149"/>
    </row>
    <row r="107" spans="1:14">
      <c r="A107" s="60">
        <v>329</v>
      </c>
      <c r="B107" s="54" t="s">
        <v>90</v>
      </c>
      <c r="C107" s="76">
        <v>8000</v>
      </c>
      <c r="D107" s="76">
        <v>5000</v>
      </c>
      <c r="E107" s="76"/>
      <c r="F107" s="76"/>
      <c r="G107" s="76"/>
      <c r="H107" s="76"/>
      <c r="I107" s="52">
        <f t="shared" si="3"/>
        <v>13000</v>
      </c>
      <c r="J107" s="76">
        <v>0</v>
      </c>
      <c r="K107" s="122">
        <f t="shared" si="9"/>
        <v>13000</v>
      </c>
      <c r="L107" s="132">
        <f>J107/$J$118</f>
        <v>0</v>
      </c>
      <c r="N107" s="149"/>
    </row>
    <row r="108" spans="1:14">
      <c r="A108" s="60"/>
      <c r="B108" s="54"/>
      <c r="C108" s="76"/>
      <c r="D108" s="76"/>
      <c r="E108" s="76"/>
      <c r="F108" s="76"/>
      <c r="G108" s="76"/>
      <c r="H108" s="76"/>
      <c r="I108" s="52"/>
      <c r="J108" s="76"/>
      <c r="K108" s="122"/>
      <c r="L108" s="132"/>
      <c r="N108" s="149"/>
    </row>
    <row r="109" spans="1:14">
      <c r="A109" s="60"/>
      <c r="B109" s="54"/>
      <c r="C109" s="76"/>
      <c r="D109" s="76"/>
      <c r="E109" s="76"/>
      <c r="F109" s="76"/>
      <c r="G109" s="76"/>
      <c r="H109" s="76"/>
      <c r="I109" s="52"/>
      <c r="J109" s="76"/>
      <c r="K109" s="122"/>
      <c r="L109" s="132"/>
      <c r="N109" s="149"/>
    </row>
    <row r="110" spans="1:14">
      <c r="A110" s="59"/>
      <c r="B110" s="59"/>
      <c r="C110" s="76"/>
      <c r="D110" s="76"/>
      <c r="E110" s="76"/>
      <c r="F110" s="76"/>
      <c r="G110" s="76"/>
      <c r="H110" s="76"/>
      <c r="I110" s="52"/>
      <c r="J110" s="76"/>
      <c r="K110" s="122"/>
      <c r="L110" s="132"/>
      <c r="N110" s="149"/>
    </row>
    <row r="111" spans="1:14">
      <c r="A111" s="59">
        <v>4</v>
      </c>
      <c r="B111" s="59" t="s">
        <v>13</v>
      </c>
      <c r="C111" s="76"/>
      <c r="D111" s="76"/>
      <c r="E111" s="76"/>
      <c r="F111" s="76"/>
      <c r="G111" s="76"/>
      <c r="H111" s="76"/>
      <c r="I111" s="52"/>
      <c r="J111" s="76"/>
      <c r="K111" s="122"/>
      <c r="L111" s="132"/>
      <c r="N111" s="149"/>
    </row>
    <row r="112" spans="1:14">
      <c r="A112" s="61">
        <v>413</v>
      </c>
      <c r="B112" s="62" t="s">
        <v>77</v>
      </c>
      <c r="C112" s="76">
        <v>46000</v>
      </c>
      <c r="D112" s="76"/>
      <c r="E112" s="76"/>
      <c r="F112" s="76"/>
      <c r="G112" s="129"/>
      <c r="H112" s="129"/>
      <c r="I112" s="52">
        <f t="shared" ref="I112:I116" si="10">C112+D112-E112+F112-G112</f>
        <v>46000</v>
      </c>
      <c r="J112" s="76">
        <v>0</v>
      </c>
      <c r="K112" s="122">
        <f t="shared" si="9"/>
        <v>46000</v>
      </c>
      <c r="L112" s="132">
        <f>J112/$J$118</f>
        <v>0</v>
      </c>
      <c r="N112" s="149"/>
    </row>
    <row r="113" spans="1:14">
      <c r="A113" s="61">
        <v>415</v>
      </c>
      <c r="B113" s="62" t="s">
        <v>78</v>
      </c>
      <c r="C113" s="76">
        <v>30100</v>
      </c>
      <c r="D113" s="76"/>
      <c r="E113" s="76"/>
      <c r="F113" s="76"/>
      <c r="G113" s="129"/>
      <c r="H113" s="129"/>
      <c r="I113" s="52">
        <f t="shared" si="10"/>
        <v>30100</v>
      </c>
      <c r="J113" s="76">
        <v>0</v>
      </c>
      <c r="K113" s="122">
        <f t="shared" si="9"/>
        <v>30100</v>
      </c>
      <c r="L113" s="132">
        <f>J113/$J$118</f>
        <v>0</v>
      </c>
      <c r="N113" s="149"/>
    </row>
    <row r="114" spans="1:14">
      <c r="A114" s="61">
        <v>419</v>
      </c>
      <c r="B114" s="62" t="s">
        <v>79</v>
      </c>
      <c r="C114" s="76">
        <v>19200</v>
      </c>
      <c r="D114" s="76"/>
      <c r="E114" s="76"/>
      <c r="F114" s="129"/>
      <c r="G114" s="129"/>
      <c r="H114" s="129"/>
      <c r="I114" s="52">
        <f t="shared" si="10"/>
        <v>19200</v>
      </c>
      <c r="J114" s="76">
        <v>1800</v>
      </c>
      <c r="K114" s="122">
        <f t="shared" si="9"/>
        <v>17400</v>
      </c>
      <c r="L114" s="132">
        <f>J114/$J$118</f>
        <v>7.9681587065978546E-4</v>
      </c>
      <c r="N114" s="149"/>
    </row>
    <row r="115" spans="1:14">
      <c r="A115" s="61">
        <v>453</v>
      </c>
      <c r="B115" s="62" t="s">
        <v>80</v>
      </c>
      <c r="C115" s="76">
        <v>120000</v>
      </c>
      <c r="D115" s="76"/>
      <c r="E115" s="76"/>
      <c r="F115" s="129"/>
      <c r="G115" s="129"/>
      <c r="H115" s="129"/>
      <c r="I115" s="52">
        <f>C115+D115-E115+F115-G115</f>
        <v>120000</v>
      </c>
      <c r="J115" s="76">
        <v>109286.35</v>
      </c>
      <c r="K115" s="122">
        <f t="shared" si="9"/>
        <v>10713.649999999994</v>
      </c>
      <c r="L115" s="132">
        <f>J115/$J$118</f>
        <v>4.8378387848044477E-2</v>
      </c>
      <c r="N115" s="149"/>
    </row>
    <row r="116" spans="1:14">
      <c r="A116" s="61">
        <v>472</v>
      </c>
      <c r="B116" s="62" t="s">
        <v>118</v>
      </c>
      <c r="C116" s="76">
        <v>4000</v>
      </c>
      <c r="D116" s="76"/>
      <c r="E116" s="76"/>
      <c r="F116" s="129"/>
      <c r="G116" s="129"/>
      <c r="H116" s="129"/>
      <c r="I116" s="52">
        <f t="shared" si="10"/>
        <v>4000</v>
      </c>
      <c r="J116" s="76">
        <v>2089.9</v>
      </c>
      <c r="K116" s="122">
        <f t="shared" si="9"/>
        <v>1910.1</v>
      </c>
      <c r="L116" s="132">
        <f>J116/$J$118</f>
        <v>9.2514749338438096E-4</v>
      </c>
      <c r="N116" s="149"/>
    </row>
    <row r="117" spans="1:14" ht="20.25" customHeight="1" thickBot="1">
      <c r="A117" s="56"/>
      <c r="B117" s="160"/>
      <c r="C117" s="161"/>
      <c r="D117" s="76"/>
      <c r="E117" s="76"/>
      <c r="F117" s="101"/>
      <c r="G117" s="101"/>
      <c r="H117" s="101"/>
      <c r="I117" s="52"/>
      <c r="J117" s="101"/>
      <c r="K117" s="125"/>
      <c r="L117" s="132"/>
    </row>
    <row r="118" spans="1:14" ht="20.25" customHeight="1" thickBot="1">
      <c r="A118" s="162"/>
      <c r="B118" s="19" t="s">
        <v>7</v>
      </c>
      <c r="C118" s="11">
        <f>SUM(C20:C117)</f>
        <v>6176079.2063746657</v>
      </c>
      <c r="D118" s="11">
        <f>SUM(D20:D117)</f>
        <v>833550</v>
      </c>
      <c r="E118" s="11">
        <f>SUM(E20:E117)</f>
        <v>833550</v>
      </c>
      <c r="F118" s="11">
        <f t="shared" ref="F118:K118" si="11">SUM(F20:F117)</f>
        <v>0</v>
      </c>
      <c r="G118" s="11">
        <f t="shared" si="11"/>
        <v>0</v>
      </c>
      <c r="H118" s="11">
        <f t="shared" si="11"/>
        <v>0</v>
      </c>
      <c r="I118" s="11">
        <f t="shared" si="11"/>
        <v>6176079.2063746667</v>
      </c>
      <c r="J118" s="63">
        <f>SUM(J20:J117)</f>
        <v>2258991.15</v>
      </c>
      <c r="K118" s="11">
        <f t="shared" si="11"/>
        <v>3917088.0563746667</v>
      </c>
      <c r="L118" s="163">
        <f>J118/J118</f>
        <v>1</v>
      </c>
    </row>
    <row r="119" spans="1:14" ht="20.25" customHeight="1">
      <c r="A119" s="164"/>
      <c r="B119" s="36"/>
      <c r="C119" s="37"/>
      <c r="D119" s="37"/>
      <c r="E119" s="37"/>
      <c r="F119" s="37"/>
      <c r="G119" s="64"/>
      <c r="H119" s="37"/>
      <c r="I119" s="37"/>
      <c r="J119" s="64"/>
      <c r="K119" s="37"/>
      <c r="L119" s="39"/>
    </row>
    <row r="120" spans="1:14" ht="20.25" customHeight="1" thickBot="1">
      <c r="A120" s="164"/>
      <c r="B120" s="36"/>
      <c r="C120" s="37"/>
      <c r="D120" s="37"/>
      <c r="E120" s="37"/>
      <c r="F120" s="37"/>
      <c r="G120" s="37"/>
      <c r="H120" s="37"/>
      <c r="I120" s="37"/>
      <c r="J120" s="64"/>
      <c r="K120" s="37"/>
      <c r="L120" s="39"/>
    </row>
    <row r="121" spans="1:14" s="35" customFormat="1">
      <c r="A121" s="81" t="s">
        <v>8</v>
      </c>
      <c r="B121" s="81"/>
      <c r="C121" s="165"/>
      <c r="D121" s="32"/>
      <c r="E121" s="32"/>
      <c r="F121" s="96"/>
      <c r="G121" s="96"/>
      <c r="H121" s="96"/>
      <c r="I121" s="42"/>
      <c r="J121" s="32"/>
      <c r="K121" s="33"/>
      <c r="L121" s="34"/>
    </row>
    <row r="122" spans="1:14" s="35" customFormat="1">
      <c r="A122" s="84" t="s">
        <v>0</v>
      </c>
      <c r="B122" s="84"/>
      <c r="C122" s="166"/>
      <c r="D122" s="32"/>
      <c r="E122" s="32"/>
      <c r="F122" s="96"/>
      <c r="G122" s="96"/>
      <c r="H122" s="96"/>
      <c r="I122" s="42"/>
      <c r="J122" s="32"/>
      <c r="K122" s="33"/>
      <c r="L122" s="34"/>
    </row>
    <row r="123" spans="1:14" s="35" customFormat="1" ht="12" customHeight="1" thickBot="1">
      <c r="A123" s="84"/>
      <c r="B123" s="84"/>
      <c r="C123" s="166"/>
      <c r="D123" s="32"/>
      <c r="E123" s="32"/>
      <c r="F123" s="96"/>
      <c r="G123" s="96"/>
      <c r="H123" s="96"/>
      <c r="I123" s="42"/>
      <c r="J123" s="32"/>
      <c r="K123" s="33"/>
      <c r="L123" s="34"/>
    </row>
    <row r="124" spans="1:14" s="35" customFormat="1">
      <c r="A124" s="90" t="s">
        <v>121</v>
      </c>
      <c r="B124" s="85"/>
      <c r="C124" s="167"/>
      <c r="D124" s="32"/>
      <c r="E124" s="32"/>
      <c r="F124" s="96"/>
      <c r="G124" s="96"/>
      <c r="H124" s="96"/>
      <c r="I124" s="42"/>
      <c r="J124" s="32"/>
      <c r="K124" s="33"/>
      <c r="L124" s="34"/>
    </row>
    <row r="125" spans="1:14" s="35" customFormat="1">
      <c r="A125" s="91" t="s">
        <v>131</v>
      </c>
      <c r="B125" s="83"/>
      <c r="C125" s="168">
        <v>1077959.21</v>
      </c>
      <c r="D125" s="32"/>
      <c r="E125" s="169"/>
      <c r="F125" s="96"/>
      <c r="G125" s="96"/>
      <c r="H125" s="96"/>
      <c r="I125" s="42"/>
      <c r="J125" s="32"/>
      <c r="K125" s="33"/>
      <c r="L125" s="34"/>
    </row>
    <row r="126" spans="1:14" s="35" customFormat="1">
      <c r="A126" s="91" t="s">
        <v>81</v>
      </c>
      <c r="B126" s="83"/>
      <c r="C126" s="168">
        <f>ROUND((J18),2)</f>
        <v>2634049.56</v>
      </c>
      <c r="D126" s="32"/>
      <c r="E126" s="169"/>
      <c r="F126" s="135"/>
      <c r="G126" s="96"/>
      <c r="H126" s="96"/>
      <c r="I126" s="42"/>
      <c r="J126" s="32"/>
      <c r="K126" s="33"/>
      <c r="L126" s="34"/>
    </row>
    <row r="127" spans="1:14" s="35" customFormat="1">
      <c r="A127" s="91" t="s">
        <v>94</v>
      </c>
      <c r="B127" s="83"/>
      <c r="C127" s="109">
        <f>-ROUND((J118),2)</f>
        <v>-2258991.15</v>
      </c>
      <c r="D127" s="32"/>
      <c r="E127" s="169"/>
      <c r="F127" s="135"/>
      <c r="G127" s="96"/>
      <c r="H127" s="96"/>
      <c r="I127" s="42"/>
      <c r="J127" s="32"/>
      <c r="K127" s="33"/>
      <c r="L127" s="34"/>
    </row>
    <row r="128" spans="1:14" s="35" customFormat="1">
      <c r="A128" s="93" t="s">
        <v>120</v>
      </c>
      <c r="B128" s="83"/>
      <c r="C128" s="170">
        <f>SUM(C125:C127)</f>
        <v>1453017.62</v>
      </c>
      <c r="D128" s="171"/>
      <c r="E128" s="169"/>
      <c r="F128" s="135"/>
      <c r="G128" s="96"/>
      <c r="H128" s="96"/>
      <c r="I128" s="42"/>
      <c r="J128" s="32"/>
      <c r="K128" s="33"/>
      <c r="L128" s="34"/>
    </row>
    <row r="129" spans="1:12" s="35" customFormat="1">
      <c r="A129" s="92" t="s">
        <v>122</v>
      </c>
      <c r="B129" s="82"/>
      <c r="C129" s="119"/>
      <c r="D129" s="32"/>
      <c r="E129" s="32"/>
      <c r="F129" s="130"/>
      <c r="G129" s="118"/>
      <c r="H129" s="96"/>
      <c r="I129" s="42"/>
      <c r="J129" s="32"/>
      <c r="K129" s="33"/>
      <c r="L129" s="34"/>
    </row>
    <row r="130" spans="1:12" s="35" customFormat="1">
      <c r="A130" s="91"/>
      <c r="B130" s="83"/>
      <c r="C130" s="168">
        <v>0</v>
      </c>
      <c r="D130" s="32"/>
      <c r="E130" s="32"/>
      <c r="F130" s="131"/>
      <c r="G130" s="118"/>
      <c r="H130" s="96"/>
      <c r="I130" s="42"/>
      <c r="J130" s="32"/>
      <c r="K130" s="33"/>
      <c r="L130" s="34"/>
    </row>
    <row r="131" spans="1:12" s="35" customFormat="1" ht="6.95" customHeight="1">
      <c r="A131" s="91"/>
      <c r="B131" s="83"/>
      <c r="C131" s="109"/>
      <c r="D131" s="32"/>
      <c r="E131" s="95"/>
      <c r="F131" s="117"/>
      <c r="G131" s="118"/>
      <c r="H131" s="96"/>
      <c r="I131" s="42"/>
      <c r="J131" s="32"/>
      <c r="K131" s="33"/>
      <c r="L131" s="34"/>
    </row>
    <row r="132" spans="1:12" s="35" customFormat="1">
      <c r="A132" s="91"/>
      <c r="B132" s="83"/>
      <c r="C132" s="170">
        <f>SUM(C130:C131)</f>
        <v>0</v>
      </c>
      <c r="D132" s="32"/>
      <c r="E132" s="32"/>
      <c r="F132" s="117"/>
      <c r="G132" s="118"/>
      <c r="H132" s="96"/>
      <c r="I132" s="42"/>
      <c r="J132" s="32"/>
      <c r="K132" s="33"/>
      <c r="L132" s="34"/>
    </row>
    <row r="133" spans="1:12" s="35" customFormat="1" ht="6.95" customHeight="1">
      <c r="A133" s="91"/>
      <c r="B133" s="83"/>
      <c r="C133" s="109"/>
      <c r="D133" s="32"/>
      <c r="E133" s="32"/>
      <c r="F133" s="96"/>
      <c r="G133" s="96"/>
      <c r="H133" s="96"/>
      <c r="I133" s="42"/>
      <c r="J133" s="32"/>
      <c r="K133" s="33"/>
      <c r="L133" s="34"/>
    </row>
    <row r="134" spans="1:12" s="35" customFormat="1" ht="6.95" customHeight="1">
      <c r="A134" s="91"/>
      <c r="B134" s="83"/>
      <c r="C134" s="172"/>
      <c r="D134" s="32"/>
      <c r="E134" s="32"/>
      <c r="F134" s="96"/>
      <c r="G134" s="96"/>
      <c r="H134" s="96"/>
      <c r="I134" s="42"/>
      <c r="J134" s="32"/>
      <c r="K134" s="33"/>
      <c r="L134" s="34"/>
    </row>
    <row r="135" spans="1:12" s="35" customFormat="1" ht="18.75" thickBot="1">
      <c r="A135" s="93" t="s">
        <v>166</v>
      </c>
      <c r="B135" s="88"/>
      <c r="C135" s="173">
        <f>C128+C132</f>
        <v>1453017.62</v>
      </c>
      <c r="D135" s="174"/>
      <c r="F135" s="96"/>
      <c r="G135" s="96"/>
      <c r="H135" s="96"/>
      <c r="I135" s="42"/>
      <c r="J135" s="32"/>
      <c r="K135" s="33"/>
      <c r="L135" s="34"/>
    </row>
    <row r="136" spans="1:12" s="35" customFormat="1" ht="6.95" customHeight="1" thickTop="1" thickBot="1">
      <c r="A136" s="94"/>
      <c r="B136" s="87"/>
      <c r="C136" s="175"/>
      <c r="D136" s="174"/>
      <c r="F136" s="96"/>
      <c r="G136" s="96"/>
      <c r="H136" s="96"/>
      <c r="I136" s="42"/>
      <c r="J136" s="32"/>
      <c r="K136" s="33"/>
      <c r="L136" s="34"/>
    </row>
    <row r="137" spans="1:12">
      <c r="A137" s="43"/>
      <c r="B137" s="43"/>
      <c r="C137" s="176">
        <f>1453017.62-C135</f>
        <v>0</v>
      </c>
      <c r="D137" s="174"/>
      <c r="F137" s="136"/>
      <c r="G137" s="102"/>
      <c r="H137" s="102"/>
      <c r="I137" s="102"/>
      <c r="J137" s="102"/>
      <c r="K137" s="102"/>
      <c r="L137" s="102"/>
    </row>
    <row r="138" spans="1:12">
      <c r="A138" s="43"/>
      <c r="B138" s="43"/>
      <c r="C138" s="177"/>
      <c r="D138" s="174"/>
      <c r="F138" s="102"/>
      <c r="G138" s="102"/>
      <c r="H138" s="102"/>
      <c r="I138" s="102"/>
      <c r="J138" s="102"/>
      <c r="K138" s="102"/>
      <c r="L138" s="102"/>
    </row>
    <row r="139" spans="1:12">
      <c r="A139" s="36"/>
      <c r="B139" s="178" t="s">
        <v>167</v>
      </c>
      <c r="C139" s="179"/>
      <c r="D139" s="174"/>
      <c r="E139" s="95"/>
      <c r="F139" s="102"/>
      <c r="G139" s="102"/>
      <c r="I139" s="102"/>
      <c r="J139" s="102"/>
      <c r="K139" s="102"/>
      <c r="L139" s="102"/>
    </row>
    <row r="140" spans="1:12">
      <c r="A140" s="36"/>
      <c r="B140" s="43"/>
      <c r="C140" s="180"/>
      <c r="D140" s="174"/>
      <c r="E140" s="102"/>
      <c r="F140" s="102"/>
      <c r="G140" s="102"/>
      <c r="H140" s="102"/>
      <c r="I140" s="102"/>
      <c r="J140" s="102"/>
      <c r="K140" s="102"/>
      <c r="L140" s="102"/>
    </row>
    <row r="141" spans="1:12">
      <c r="A141" s="36"/>
      <c r="B141" s="43"/>
      <c r="C141" s="180"/>
      <c r="D141" s="174"/>
      <c r="E141" s="102"/>
      <c r="F141" s="102"/>
      <c r="G141" s="102"/>
      <c r="H141" s="102"/>
      <c r="I141" s="102"/>
      <c r="J141" s="102"/>
      <c r="K141" s="102"/>
      <c r="L141" s="102"/>
    </row>
    <row r="142" spans="1:12">
      <c r="A142" s="36"/>
      <c r="B142" s="43"/>
      <c r="C142" s="149"/>
      <c r="D142" s="174"/>
      <c r="E142" s="102"/>
      <c r="F142" s="102"/>
      <c r="G142" s="102"/>
      <c r="H142" s="102"/>
      <c r="I142" s="102"/>
      <c r="J142" s="102"/>
      <c r="K142" s="102"/>
      <c r="L142" s="102"/>
    </row>
    <row r="143" spans="1:12">
      <c r="A143" s="36"/>
      <c r="B143" s="43"/>
      <c r="C143" s="149"/>
      <c r="E143" s="102"/>
      <c r="F143" s="102"/>
      <c r="G143" s="102"/>
      <c r="H143" s="102"/>
      <c r="I143" s="102"/>
      <c r="J143" s="102"/>
      <c r="K143" s="102"/>
      <c r="L143" s="102"/>
    </row>
    <row r="144" spans="1:12">
      <c r="A144" s="164"/>
      <c r="B144" s="43"/>
      <c r="C144" s="45"/>
      <c r="D144" s="42"/>
      <c r="E144" s="95"/>
      <c r="F144" s="95"/>
      <c r="G144" s="102"/>
      <c r="H144" s="102"/>
      <c r="I144" s="102"/>
      <c r="J144" s="102"/>
      <c r="K144" s="102"/>
      <c r="L144" s="102"/>
    </row>
    <row r="145" spans="1:13">
      <c r="A145" s="164"/>
      <c r="B145" s="102"/>
      <c r="C145" s="181"/>
      <c r="D145" s="102"/>
      <c r="E145" s="95"/>
      <c r="F145" s="95"/>
      <c r="G145" s="102"/>
      <c r="H145" s="102"/>
      <c r="I145" s="102"/>
      <c r="J145" s="102"/>
      <c r="K145" s="102"/>
      <c r="L145" s="102"/>
    </row>
    <row r="146" spans="1:13" ht="18.75">
      <c r="A146" s="164"/>
      <c r="B146" s="103" t="s">
        <v>152</v>
      </c>
      <c r="C146" s="182" t="s">
        <v>153</v>
      </c>
      <c r="E146" s="103"/>
      <c r="F146" s="103"/>
      <c r="G146" s="182" t="s">
        <v>156</v>
      </c>
      <c r="J146" s="103"/>
      <c r="K146" s="126"/>
      <c r="L146" s="103"/>
    </row>
    <row r="147" spans="1:13" ht="18.75">
      <c r="A147" s="164"/>
      <c r="B147" s="183" t="s">
        <v>154</v>
      </c>
      <c r="C147" s="184" t="s">
        <v>155</v>
      </c>
      <c r="E147" s="104"/>
      <c r="F147" s="145"/>
      <c r="G147" s="184" t="s">
        <v>148</v>
      </c>
      <c r="J147" s="104"/>
      <c r="K147" s="104"/>
      <c r="L147" s="104"/>
    </row>
    <row r="148" spans="1:13" ht="18.75">
      <c r="A148" s="164"/>
      <c r="B148" s="104"/>
      <c r="D148" s="126"/>
      <c r="E148" s="104"/>
      <c r="F148" s="104"/>
      <c r="G148" s="104"/>
      <c r="H148" s="104"/>
      <c r="I148" s="185"/>
      <c r="J148" s="104"/>
      <c r="K148" s="104"/>
      <c r="L148" s="104"/>
    </row>
    <row r="149" spans="1:13" ht="18.75">
      <c r="A149" s="164"/>
      <c r="B149" s="104"/>
      <c r="C149" s="149"/>
      <c r="D149" s="104"/>
      <c r="F149" s="104"/>
      <c r="G149" s="104"/>
      <c r="H149" s="104"/>
      <c r="I149" s="104"/>
      <c r="J149" s="104"/>
      <c r="L149" s="104"/>
    </row>
    <row r="150" spans="1:13">
      <c r="A150" s="29"/>
      <c r="B150" s="153"/>
      <c r="C150" s="114"/>
      <c r="D150" s="153"/>
      <c r="F150" s="116"/>
      <c r="G150" s="116"/>
      <c r="H150" s="116"/>
      <c r="I150" s="153"/>
      <c r="J150" s="116"/>
      <c r="L150" s="34"/>
      <c r="M150" s="35"/>
    </row>
    <row r="151" spans="1:13">
      <c r="A151" s="29"/>
      <c r="B151" s="113"/>
      <c r="C151" s="114"/>
      <c r="D151" s="116"/>
      <c r="E151" s="116"/>
      <c r="F151" s="116"/>
      <c r="G151" s="116"/>
      <c r="H151" s="116"/>
      <c r="I151" s="116"/>
      <c r="J151" s="116"/>
      <c r="K151" s="33"/>
      <c r="L151" s="34"/>
      <c r="M151" s="35"/>
    </row>
    <row r="152" spans="1:13">
      <c r="A152" s="36"/>
      <c r="B152" s="28"/>
      <c r="C152" s="115"/>
      <c r="D152" s="116"/>
      <c r="E152" s="116"/>
      <c r="F152" s="116"/>
      <c r="G152" s="116"/>
      <c r="H152" s="116"/>
      <c r="I152" s="116"/>
      <c r="J152" s="116"/>
      <c r="K152" s="38"/>
      <c r="L152" s="39"/>
      <c r="M152" s="35"/>
    </row>
    <row r="153" spans="1:13">
      <c r="A153" s="36"/>
      <c r="B153" s="259"/>
      <c r="C153" s="259"/>
      <c r="D153" s="41"/>
      <c r="E153" s="40"/>
      <c r="F153" s="28"/>
      <c r="G153" s="28"/>
      <c r="H153" s="40"/>
      <c r="I153" s="40"/>
      <c r="J153" s="40"/>
      <c r="K153" s="40"/>
      <c r="L153" s="40"/>
      <c r="M153" s="35"/>
    </row>
    <row r="154" spans="1:13">
      <c r="A154" s="36"/>
      <c r="B154" s="36"/>
      <c r="C154" s="28"/>
      <c r="D154" s="28"/>
      <c r="E154" s="42"/>
      <c r="F154" s="28"/>
      <c r="G154" s="28"/>
      <c r="H154" s="42"/>
      <c r="I154" s="42"/>
      <c r="J154" s="42"/>
      <c r="K154" s="42"/>
      <c r="L154" s="42"/>
      <c r="M154" s="35"/>
    </row>
    <row r="155" spans="1:13">
      <c r="A155" s="36"/>
      <c r="B155" s="43"/>
      <c r="C155" s="42"/>
      <c r="D155" s="28"/>
      <c r="E155" s="28"/>
      <c r="F155" s="28"/>
      <c r="G155" s="28"/>
      <c r="H155" s="28"/>
      <c r="I155" s="28"/>
      <c r="J155" s="28"/>
      <c r="K155" s="28"/>
      <c r="L155" s="28"/>
      <c r="M155" s="35"/>
    </row>
    <row r="156" spans="1:13">
      <c r="A156" s="36"/>
      <c r="B156" s="43"/>
      <c r="C156" s="42"/>
      <c r="D156" s="28"/>
      <c r="E156" s="28"/>
      <c r="F156" s="28"/>
      <c r="G156" s="28"/>
      <c r="H156" s="28"/>
      <c r="I156" s="28"/>
      <c r="J156" s="28"/>
      <c r="K156" s="28"/>
      <c r="L156" s="44"/>
      <c r="M156" s="35"/>
    </row>
    <row r="157" spans="1:13">
      <c r="A157" s="36"/>
      <c r="B157" s="43"/>
      <c r="C157" s="42"/>
      <c r="D157" s="28"/>
      <c r="E157" s="28"/>
      <c r="F157" s="28"/>
      <c r="G157" s="28"/>
      <c r="H157" s="28"/>
      <c r="I157" s="28"/>
      <c r="J157" s="28"/>
      <c r="K157" s="28"/>
      <c r="L157" s="28"/>
      <c r="M157" s="35"/>
    </row>
    <row r="158" spans="1:13">
      <c r="A158" s="36"/>
      <c r="B158" s="43"/>
      <c r="C158" s="45"/>
      <c r="D158" s="28"/>
      <c r="E158" s="28"/>
      <c r="F158" s="28"/>
      <c r="G158" s="28"/>
      <c r="H158" s="28"/>
      <c r="I158" s="28"/>
      <c r="J158" s="28"/>
      <c r="K158" s="28"/>
      <c r="L158" s="28"/>
      <c r="M158" s="35"/>
    </row>
    <row r="159" spans="1:13">
      <c r="A159" s="36"/>
      <c r="B159" s="43"/>
      <c r="C159" s="45"/>
      <c r="D159" s="28"/>
      <c r="E159" s="28"/>
      <c r="F159" s="35"/>
      <c r="G159" s="35"/>
      <c r="H159" s="28"/>
      <c r="I159" s="28"/>
      <c r="J159" s="28"/>
      <c r="K159" s="28"/>
      <c r="L159" s="28"/>
      <c r="M159" s="35"/>
    </row>
    <row r="160" spans="1:13">
      <c r="A160" s="36"/>
      <c r="B160" s="35"/>
      <c r="C160" s="35"/>
      <c r="D160" s="28"/>
      <c r="E160" s="28"/>
      <c r="F160" s="35"/>
      <c r="G160" s="35"/>
      <c r="H160" s="28"/>
      <c r="I160" s="28"/>
      <c r="J160" s="28"/>
      <c r="K160" s="28"/>
      <c r="L160" s="28"/>
      <c r="M160" s="35"/>
    </row>
    <row r="161" spans="1:13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</row>
    <row r="162" spans="1:13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</row>
    <row r="163" spans="1:13">
      <c r="A163" s="35"/>
      <c r="B163" s="35"/>
      <c r="C163" s="35"/>
      <c r="D163" s="35"/>
      <c r="E163" s="35"/>
      <c r="H163" s="35"/>
      <c r="I163" s="35"/>
      <c r="J163" s="35"/>
      <c r="K163" s="35"/>
      <c r="L163" s="35"/>
      <c r="M163" s="35"/>
    </row>
    <row r="164" spans="1:13">
      <c r="A164" s="35"/>
      <c r="D164" s="35"/>
      <c r="E164" s="35"/>
      <c r="H164" s="35"/>
      <c r="I164" s="35"/>
      <c r="J164" s="35"/>
      <c r="K164" s="35"/>
      <c r="L164" s="35"/>
      <c r="M164" s="35"/>
    </row>
  </sheetData>
  <mergeCells count="6">
    <mergeCell ref="J6:J7"/>
    <mergeCell ref="B153:C153"/>
    <mergeCell ref="A6:A7"/>
    <mergeCell ref="B6:B7"/>
    <mergeCell ref="D6:E6"/>
    <mergeCell ref="F6:G6"/>
  </mergeCells>
  <printOptions horizontalCentered="1"/>
  <pageMargins left="0.39370078740157483" right="0.39370078740157483" top="0.78740157480314965" bottom="0.78740157480314965" header="0.31496062992125984" footer="0.31496062992125984"/>
  <pageSetup scale="5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4"/>
  <sheetViews>
    <sheetView showGridLines="0" topLeftCell="C1" zoomScale="75" zoomScaleNormal="75" workbookViewId="0">
      <selection activeCell="F13" sqref="F13"/>
    </sheetView>
  </sheetViews>
  <sheetFormatPr baseColWidth="10" defaultColWidth="11.42578125" defaultRowHeight="18"/>
  <cols>
    <col min="1" max="1" width="11.7109375" style="5" customWidth="1"/>
    <col min="2" max="2" width="67.7109375" style="5" customWidth="1"/>
    <col min="3" max="3" width="18.7109375" style="5" customWidth="1"/>
    <col min="4" max="7" width="17.7109375" style="5" customWidth="1"/>
    <col min="8" max="8" width="14.7109375" style="5" customWidth="1"/>
    <col min="9" max="9" width="18.7109375" style="5" customWidth="1"/>
    <col min="10" max="11" width="19.7109375" style="5" customWidth="1"/>
    <col min="12" max="12" width="12.7109375" style="5" customWidth="1"/>
    <col min="13" max="13" width="7" style="5" customWidth="1"/>
    <col min="14" max="14" width="19.5703125" style="5" bestFit="1" customWidth="1"/>
    <col min="15" max="16384" width="11.42578125" style="5"/>
  </cols>
  <sheetData>
    <row r="1" spans="1:14">
      <c r="A1" s="97" t="s">
        <v>39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4">
      <c r="A2" s="97" t="s">
        <v>119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4">
      <c r="A3" s="97" t="s">
        <v>169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</row>
    <row r="4" spans="1:14" ht="17.850000000000001" customHeight="1">
      <c r="A4" s="97" t="s">
        <v>0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</row>
    <row r="5" spans="1:14" ht="17.850000000000001" customHeight="1" thickBo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</row>
    <row r="6" spans="1:14" ht="18.75" thickBot="1">
      <c r="A6" s="260" t="s">
        <v>5</v>
      </c>
      <c r="B6" s="262" t="s">
        <v>40</v>
      </c>
      <c r="C6" s="3" t="s">
        <v>1</v>
      </c>
      <c r="D6" s="256" t="s">
        <v>171</v>
      </c>
      <c r="E6" s="256"/>
      <c r="F6" s="256" t="s">
        <v>191</v>
      </c>
      <c r="G6" s="256"/>
      <c r="H6" s="3" t="s">
        <v>42</v>
      </c>
      <c r="I6" s="3" t="s">
        <v>1</v>
      </c>
      <c r="J6" s="257" t="s">
        <v>2</v>
      </c>
      <c r="K6" s="4" t="s">
        <v>29</v>
      </c>
      <c r="L6" s="3" t="s">
        <v>31</v>
      </c>
    </row>
    <row r="7" spans="1:14" ht="18.75" thickBot="1">
      <c r="A7" s="261"/>
      <c r="B7" s="263"/>
      <c r="C7" s="6" t="s">
        <v>3</v>
      </c>
      <c r="D7" s="7" t="s">
        <v>145</v>
      </c>
      <c r="E7" s="7" t="s">
        <v>146</v>
      </c>
      <c r="F7" s="7" t="s">
        <v>145</v>
      </c>
      <c r="G7" s="7" t="s">
        <v>146</v>
      </c>
      <c r="H7" s="6" t="s">
        <v>33</v>
      </c>
      <c r="I7" s="6" t="s">
        <v>4</v>
      </c>
      <c r="J7" s="258"/>
      <c r="K7" s="8" t="s">
        <v>30</v>
      </c>
      <c r="L7" s="9" t="s">
        <v>32</v>
      </c>
    </row>
    <row r="8" spans="1:14">
      <c r="A8" s="69"/>
      <c r="B8" s="71" t="s">
        <v>116</v>
      </c>
      <c r="C8" s="98"/>
      <c r="D8" s="98"/>
      <c r="E8" s="98"/>
      <c r="F8" s="98"/>
      <c r="G8" s="98"/>
      <c r="H8" s="98"/>
      <c r="I8" s="98"/>
      <c r="J8" s="98"/>
      <c r="K8" s="98"/>
      <c r="L8" s="98"/>
    </row>
    <row r="9" spans="1:14">
      <c r="A9" s="60"/>
      <c r="B9" s="70" t="s">
        <v>117</v>
      </c>
      <c r="C9" s="52">
        <v>1077959.21</v>
      </c>
      <c r="D9" s="127"/>
      <c r="E9" s="52"/>
      <c r="F9" s="127"/>
      <c r="G9" s="127"/>
      <c r="H9" s="127"/>
      <c r="I9" s="128">
        <f t="shared" ref="I9:I16" si="0">C9+D9-E9+F9-G9</f>
        <v>1077959.21</v>
      </c>
      <c r="J9" s="133"/>
      <c r="K9" s="122">
        <f t="shared" ref="K9:K16" si="1">I9-J9+H9</f>
        <v>1077959.21</v>
      </c>
      <c r="L9" s="146">
        <f>J9/J18</f>
        <v>0</v>
      </c>
    </row>
    <row r="10" spans="1:14">
      <c r="A10" s="60" t="s">
        <v>27</v>
      </c>
      <c r="B10" s="54" t="s">
        <v>54</v>
      </c>
      <c r="C10" s="52">
        <f>12500+60000+1000</f>
        <v>73500</v>
      </c>
      <c r="D10" s="52"/>
      <c r="E10" s="52"/>
      <c r="F10" s="52"/>
      <c r="G10" s="52"/>
      <c r="H10" s="52"/>
      <c r="I10" s="52">
        <f>C10+D10-E10+F10-G10</f>
        <v>73500</v>
      </c>
      <c r="J10" s="52">
        <f>38825+6663+5964</f>
        <v>51452</v>
      </c>
      <c r="K10" s="122">
        <v>0</v>
      </c>
      <c r="L10" s="146">
        <f>J10/J18</f>
        <v>1.6238882892869313E-2</v>
      </c>
      <c r="N10" s="147"/>
    </row>
    <row r="11" spans="1:14">
      <c r="A11" s="148" t="s">
        <v>95</v>
      </c>
      <c r="B11" s="54" t="s">
        <v>96</v>
      </c>
      <c r="C11" s="52">
        <v>4000</v>
      </c>
      <c r="D11" s="52"/>
      <c r="E11" s="52"/>
      <c r="F11" s="52"/>
      <c r="G11" s="52"/>
      <c r="H11" s="52"/>
      <c r="I11" s="52">
        <f t="shared" si="0"/>
        <v>4000</v>
      </c>
      <c r="J11" s="52">
        <f>687.37+466.2+560.78</f>
        <v>1714.35</v>
      </c>
      <c r="K11" s="122">
        <v>0</v>
      </c>
      <c r="L11" s="146">
        <f>J11/J18</f>
        <v>5.4106990763022817E-4</v>
      </c>
      <c r="N11" s="147"/>
    </row>
    <row r="12" spans="1:14">
      <c r="A12" s="60" t="s">
        <v>97</v>
      </c>
      <c r="B12" s="54" t="s">
        <v>133</v>
      </c>
      <c r="C12" s="52">
        <v>3172620</v>
      </c>
      <c r="D12" s="52"/>
      <c r="E12" s="52"/>
      <c r="F12" s="52"/>
      <c r="G12" s="52"/>
      <c r="H12" s="52"/>
      <c r="I12" s="52">
        <f t="shared" si="0"/>
        <v>3172620</v>
      </c>
      <c r="J12" s="133">
        <f>1049646.93+201855.31</f>
        <v>1251502.24</v>
      </c>
      <c r="K12" s="122">
        <f>I12-J12+H12</f>
        <v>1921117.76</v>
      </c>
      <c r="L12" s="146">
        <f>J12/J18</f>
        <v>0.39498947204236223</v>
      </c>
      <c r="N12" s="149"/>
    </row>
    <row r="13" spans="1:14">
      <c r="A13" s="60" t="s">
        <v>97</v>
      </c>
      <c r="B13" s="54" t="s">
        <v>134</v>
      </c>
      <c r="C13" s="52">
        <v>1828000</v>
      </c>
      <c r="D13" s="52"/>
      <c r="E13" s="52"/>
      <c r="F13" s="52"/>
      <c r="G13" s="52"/>
      <c r="H13" s="52"/>
      <c r="I13" s="52">
        <f t="shared" si="0"/>
        <v>1828000</v>
      </c>
      <c r="J13" s="133">
        <f>1537761.06+326014.9</f>
        <v>1863775.96</v>
      </c>
      <c r="K13" s="201">
        <f t="shared" si="1"/>
        <v>-35775.959999999963</v>
      </c>
      <c r="L13" s="146">
        <f>J13/J18</f>
        <v>0.58823057515713828</v>
      </c>
    </row>
    <row r="14" spans="1:14">
      <c r="A14" s="60" t="s">
        <v>97</v>
      </c>
      <c r="B14" s="54" t="s">
        <v>99</v>
      </c>
      <c r="C14" s="52">
        <v>20000</v>
      </c>
      <c r="D14" s="52"/>
      <c r="E14" s="52"/>
      <c r="F14" s="52"/>
      <c r="G14" s="52"/>
      <c r="H14" s="52"/>
      <c r="I14" s="52">
        <f>C14+D14-E14+F14-G14</f>
        <v>20000</v>
      </c>
      <c r="J14" s="52">
        <v>0</v>
      </c>
      <c r="K14" s="122">
        <f>I14-J14+H14</f>
        <v>20000</v>
      </c>
      <c r="L14" s="146">
        <v>0</v>
      </c>
    </row>
    <row r="15" spans="1:14">
      <c r="A15" s="60" t="s">
        <v>97</v>
      </c>
      <c r="B15" s="54" t="s">
        <v>144</v>
      </c>
      <c r="C15" s="52">
        <v>0</v>
      </c>
      <c r="D15" s="52"/>
      <c r="E15" s="52"/>
      <c r="F15" s="52"/>
      <c r="G15" s="52"/>
      <c r="H15" s="52"/>
      <c r="I15" s="52">
        <f t="shared" si="0"/>
        <v>0</v>
      </c>
      <c r="J15" s="52">
        <v>0</v>
      </c>
      <c r="K15" s="122">
        <f t="shared" si="1"/>
        <v>0</v>
      </c>
      <c r="L15" s="146">
        <v>0</v>
      </c>
    </row>
    <row r="16" spans="1:14">
      <c r="A16" s="60" t="s">
        <v>97</v>
      </c>
      <c r="B16" s="54" t="s">
        <v>98</v>
      </c>
      <c r="C16" s="52">
        <v>0</v>
      </c>
      <c r="D16" s="52"/>
      <c r="E16" s="52"/>
      <c r="F16" s="52"/>
      <c r="G16" s="52"/>
      <c r="H16" s="52"/>
      <c r="I16" s="52">
        <f t="shared" si="0"/>
        <v>0</v>
      </c>
      <c r="J16" s="52">
        <v>0</v>
      </c>
      <c r="K16" s="122">
        <f t="shared" si="1"/>
        <v>0</v>
      </c>
      <c r="L16" s="146">
        <v>0</v>
      </c>
    </row>
    <row r="17" spans="1:14" ht="18.75" thickBot="1">
      <c r="A17" s="150"/>
      <c r="B17" s="151"/>
      <c r="C17" s="128">
        <v>0</v>
      </c>
      <c r="D17" s="128"/>
      <c r="E17" s="128"/>
      <c r="F17" s="128"/>
      <c r="G17" s="128"/>
      <c r="H17" s="128"/>
      <c r="I17" s="128">
        <f>H17</f>
        <v>0</v>
      </c>
      <c r="J17" s="52">
        <v>0</v>
      </c>
      <c r="K17" s="123">
        <f>-J17+H17</f>
        <v>0</v>
      </c>
      <c r="L17" s="152">
        <f>J17/J18</f>
        <v>0</v>
      </c>
      <c r="N17" s="42"/>
    </row>
    <row r="18" spans="1:14" ht="18.75" customHeight="1" thickBot="1">
      <c r="A18" s="68"/>
      <c r="B18" s="67" t="s">
        <v>6</v>
      </c>
      <c r="C18" s="11">
        <f t="shared" ref="C18:I18" si="2">SUM(C9:C17)</f>
        <v>6176079.21</v>
      </c>
      <c r="D18" s="63">
        <f t="shared" si="2"/>
        <v>0</v>
      </c>
      <c r="E18" s="63">
        <f t="shared" si="2"/>
        <v>0</v>
      </c>
      <c r="F18" s="63">
        <f t="shared" si="2"/>
        <v>0</v>
      </c>
      <c r="G18" s="63">
        <f t="shared" si="2"/>
        <v>0</v>
      </c>
      <c r="H18" s="63">
        <f t="shared" si="2"/>
        <v>0</v>
      </c>
      <c r="I18" s="11">
        <f t="shared" si="2"/>
        <v>6176079.21</v>
      </c>
      <c r="J18" s="11">
        <f>SUM(J9:J17)</f>
        <v>3168444.55</v>
      </c>
      <c r="K18" s="11">
        <f>SUM(K9:K17)</f>
        <v>2983301.01</v>
      </c>
      <c r="L18" s="12">
        <f>SUM(L17:L17)</f>
        <v>0</v>
      </c>
    </row>
    <row r="19" spans="1:14">
      <c r="A19" s="141" t="s">
        <v>5</v>
      </c>
      <c r="B19" s="142" t="s">
        <v>115</v>
      </c>
      <c r="C19" s="157"/>
      <c r="D19" s="157"/>
      <c r="E19" s="98"/>
      <c r="F19" s="98"/>
      <c r="G19" s="98"/>
      <c r="H19" s="98"/>
      <c r="I19" s="98"/>
      <c r="J19" s="99"/>
      <c r="K19" s="98"/>
      <c r="L19" s="98"/>
    </row>
    <row r="20" spans="1:14">
      <c r="A20" s="158">
        <v>0</v>
      </c>
      <c r="B20" s="59" t="s">
        <v>9</v>
      </c>
      <c r="C20" s="76"/>
      <c r="D20" s="100"/>
      <c r="E20" s="100"/>
      <c r="F20" s="100"/>
      <c r="G20" s="100"/>
      <c r="H20" s="100"/>
      <c r="I20" s="100"/>
      <c r="J20" s="100"/>
      <c r="K20" s="124"/>
      <c r="L20" s="132"/>
    </row>
    <row r="21" spans="1:14">
      <c r="A21" s="53" t="s">
        <v>14</v>
      </c>
      <c r="B21" s="54" t="s">
        <v>84</v>
      </c>
      <c r="C21" s="76">
        <v>574724</v>
      </c>
      <c r="D21" s="76"/>
      <c r="E21" s="76"/>
      <c r="F21" s="76"/>
      <c r="G21" s="76"/>
      <c r="H21" s="76"/>
      <c r="I21" s="52">
        <f t="shared" ref="I21:I107" si="3">C21+D21-E21+F21-G21</f>
        <v>574724</v>
      </c>
      <c r="J21" s="76">
        <v>247266.28999999998</v>
      </c>
      <c r="K21" s="122">
        <f t="shared" ref="K21:K92" si="4">I21-J21</f>
        <v>327457.71000000002</v>
      </c>
      <c r="L21" s="132">
        <f t="shared" ref="L21:L32" si="5">J21/$J$118</f>
        <v>8.8696798528779722E-2</v>
      </c>
      <c r="N21" s="149"/>
    </row>
    <row r="22" spans="1:14">
      <c r="A22" s="53" t="s">
        <v>34</v>
      </c>
      <c r="B22" s="54" t="s">
        <v>35</v>
      </c>
      <c r="C22" s="76">
        <v>4500</v>
      </c>
      <c r="D22" s="76"/>
      <c r="E22" s="76"/>
      <c r="F22" s="76"/>
      <c r="G22" s="76"/>
      <c r="H22" s="76"/>
      <c r="I22" s="52">
        <f t="shared" si="3"/>
        <v>4500</v>
      </c>
      <c r="J22" s="76">
        <v>2250</v>
      </c>
      <c r="K22" s="122">
        <f t="shared" si="4"/>
        <v>2250</v>
      </c>
      <c r="L22" s="132">
        <f t="shared" si="5"/>
        <v>8.0709665959623677E-4</v>
      </c>
      <c r="N22" s="149"/>
    </row>
    <row r="23" spans="1:14">
      <c r="A23" s="53" t="s">
        <v>15</v>
      </c>
      <c r="B23" s="54" t="s">
        <v>43</v>
      </c>
      <c r="C23" s="76">
        <v>62500</v>
      </c>
      <c r="D23" s="76">
        <v>36000</v>
      </c>
      <c r="E23" s="76"/>
      <c r="F23" s="76"/>
      <c r="G23" s="76"/>
      <c r="H23" s="76"/>
      <c r="I23" s="52">
        <f t="shared" si="3"/>
        <v>98500</v>
      </c>
      <c r="J23" s="76">
        <v>34116.67</v>
      </c>
      <c r="K23" s="122">
        <f t="shared" si="4"/>
        <v>64383.33</v>
      </c>
      <c r="L23" s="132">
        <f t="shared" si="5"/>
        <v>1.2237977952687619E-2</v>
      </c>
      <c r="N23" s="149"/>
    </row>
    <row r="24" spans="1:14">
      <c r="A24" s="53" t="s">
        <v>135</v>
      </c>
      <c r="B24" s="54" t="s">
        <v>136</v>
      </c>
      <c r="C24" s="76">
        <v>357550</v>
      </c>
      <c r="D24" s="76"/>
      <c r="E24" s="76">
        <v>357550</v>
      </c>
      <c r="F24" s="76"/>
      <c r="G24" s="76"/>
      <c r="H24" s="76"/>
      <c r="I24" s="52">
        <f t="shared" si="3"/>
        <v>0</v>
      </c>
      <c r="J24" s="76">
        <v>0</v>
      </c>
      <c r="K24" s="122">
        <f t="shared" si="4"/>
        <v>0</v>
      </c>
      <c r="L24" s="132">
        <f t="shared" si="5"/>
        <v>0</v>
      </c>
      <c r="N24" s="149"/>
    </row>
    <row r="25" spans="1:14">
      <c r="A25" s="53" t="s">
        <v>137</v>
      </c>
      <c r="B25" s="54" t="s">
        <v>138</v>
      </c>
      <c r="C25" s="76">
        <v>5750</v>
      </c>
      <c r="D25" s="76"/>
      <c r="E25" s="76"/>
      <c r="F25" s="76"/>
      <c r="G25" s="76"/>
      <c r="H25" s="76"/>
      <c r="I25" s="52">
        <f t="shared" si="3"/>
        <v>5750</v>
      </c>
      <c r="J25" s="76">
        <v>0</v>
      </c>
      <c r="K25" s="122">
        <f t="shared" si="4"/>
        <v>5750</v>
      </c>
      <c r="L25" s="132">
        <f t="shared" si="5"/>
        <v>0</v>
      </c>
      <c r="N25" s="149"/>
    </row>
    <row r="26" spans="1:14">
      <c r="A26" s="53" t="s">
        <v>100</v>
      </c>
      <c r="B26" s="54" t="s">
        <v>101</v>
      </c>
      <c r="C26" s="76">
        <v>15400</v>
      </c>
      <c r="D26" s="76"/>
      <c r="E26" s="76"/>
      <c r="F26" s="76"/>
      <c r="G26" s="76"/>
      <c r="H26" s="76"/>
      <c r="I26" s="52">
        <f>C26+D26-E26+F26-G26</f>
        <v>15400</v>
      </c>
      <c r="J26" s="76">
        <v>0</v>
      </c>
      <c r="K26" s="122">
        <f t="shared" si="4"/>
        <v>15400</v>
      </c>
      <c r="L26" s="132">
        <f t="shared" si="5"/>
        <v>0</v>
      </c>
      <c r="N26" s="149"/>
    </row>
    <row r="27" spans="1:14">
      <c r="A27" s="53" t="s">
        <v>21</v>
      </c>
      <c r="B27" s="54" t="s">
        <v>22</v>
      </c>
      <c r="C27" s="76">
        <v>37627.240000000005</v>
      </c>
      <c r="D27" s="76"/>
      <c r="E27" s="76"/>
      <c r="F27" s="76"/>
      <c r="G27" s="76"/>
      <c r="H27" s="76"/>
      <c r="I27" s="52">
        <f t="shared" si="3"/>
        <v>37627.240000000005</v>
      </c>
      <c r="J27" s="76">
        <v>10552.460000000001</v>
      </c>
      <c r="K27" s="122">
        <f t="shared" si="4"/>
        <v>27074.780000000006</v>
      </c>
      <c r="L27" s="132">
        <f t="shared" si="5"/>
        <v>3.7852689851212915E-3</v>
      </c>
      <c r="N27" s="149"/>
    </row>
    <row r="28" spans="1:14">
      <c r="A28" s="53" t="s">
        <v>16</v>
      </c>
      <c r="B28" s="54" t="s">
        <v>125</v>
      </c>
      <c r="C28" s="76">
        <v>111250.887308</v>
      </c>
      <c r="D28" s="76"/>
      <c r="E28" s="76"/>
      <c r="F28" s="76"/>
      <c r="G28" s="76"/>
      <c r="H28" s="52"/>
      <c r="I28" s="52">
        <f t="shared" si="3"/>
        <v>111250.887308</v>
      </c>
      <c r="J28" s="76">
        <v>23220.079999999998</v>
      </c>
      <c r="K28" s="122">
        <f t="shared" si="4"/>
        <v>88030.807308000003</v>
      </c>
      <c r="L28" s="132">
        <f t="shared" si="5"/>
        <v>8.3292662238032816E-3</v>
      </c>
      <c r="N28" s="149"/>
    </row>
    <row r="29" spans="1:14">
      <c r="A29" s="53" t="s">
        <v>17</v>
      </c>
      <c r="B29" s="54" t="s">
        <v>126</v>
      </c>
      <c r="C29" s="76">
        <v>10426.5124</v>
      </c>
      <c r="D29" s="76"/>
      <c r="E29" s="76"/>
      <c r="F29" s="76"/>
      <c r="G29" s="76"/>
      <c r="H29" s="76"/>
      <c r="I29" s="52">
        <f t="shared" si="3"/>
        <v>10426.5124</v>
      </c>
      <c r="J29" s="76">
        <v>2176.21</v>
      </c>
      <c r="K29" s="122">
        <f t="shared" si="4"/>
        <v>8250.3024000000005</v>
      </c>
      <c r="L29" s="132">
        <f t="shared" si="5"/>
        <v>7.8062747625774515E-4</v>
      </c>
      <c r="N29" s="149"/>
    </row>
    <row r="30" spans="1:14">
      <c r="A30" s="53" t="s">
        <v>18</v>
      </c>
      <c r="B30" s="55" t="s">
        <v>82</v>
      </c>
      <c r="C30" s="76">
        <v>78272.833333333328</v>
      </c>
      <c r="D30" s="76"/>
      <c r="E30" s="76"/>
      <c r="F30" s="76"/>
      <c r="G30" s="76"/>
      <c r="H30" s="76"/>
      <c r="I30" s="52">
        <f t="shared" si="3"/>
        <v>78272.833333333328</v>
      </c>
      <c r="J30" s="76">
        <v>0</v>
      </c>
      <c r="K30" s="122">
        <f t="shared" si="4"/>
        <v>78272.833333333328</v>
      </c>
      <c r="L30" s="132">
        <f t="shared" si="5"/>
        <v>0</v>
      </c>
      <c r="N30" s="149"/>
    </row>
    <row r="31" spans="1:14">
      <c r="A31" s="53" t="s">
        <v>19</v>
      </c>
      <c r="B31" s="54" t="s">
        <v>85</v>
      </c>
      <c r="C31" s="76">
        <v>78272.833333333328</v>
      </c>
      <c r="D31" s="76"/>
      <c r="E31" s="76"/>
      <c r="F31" s="76"/>
      <c r="G31" s="76"/>
      <c r="H31" s="76"/>
      <c r="I31" s="52">
        <f t="shared" si="3"/>
        <v>78272.833333333328</v>
      </c>
      <c r="J31" s="76">
        <v>0</v>
      </c>
      <c r="K31" s="122">
        <f t="shared" si="4"/>
        <v>78272.833333333328</v>
      </c>
      <c r="L31" s="132">
        <f t="shared" si="5"/>
        <v>0</v>
      </c>
      <c r="N31" s="149"/>
    </row>
    <row r="32" spans="1:14">
      <c r="A32" s="53" t="s">
        <v>20</v>
      </c>
      <c r="B32" s="54" t="s">
        <v>83</v>
      </c>
      <c r="C32" s="76">
        <v>4800</v>
      </c>
      <c r="D32" s="76"/>
      <c r="E32" s="76"/>
      <c r="F32" s="76"/>
      <c r="G32" s="76"/>
      <c r="H32" s="76"/>
      <c r="I32" s="52">
        <f t="shared" si="3"/>
        <v>4800</v>
      </c>
      <c r="J32" s="76">
        <v>0</v>
      </c>
      <c r="K32" s="122">
        <f t="shared" si="4"/>
        <v>4800</v>
      </c>
      <c r="L32" s="132">
        <f t="shared" si="5"/>
        <v>0</v>
      </c>
      <c r="N32" s="149"/>
    </row>
    <row r="33" spans="1:14">
      <c r="A33" s="59">
        <v>1</v>
      </c>
      <c r="B33" s="59" t="s">
        <v>10</v>
      </c>
      <c r="C33" s="76"/>
      <c r="D33" s="76"/>
      <c r="E33" s="76"/>
      <c r="F33" s="76"/>
      <c r="G33" s="76"/>
      <c r="H33" s="76"/>
      <c r="I33" s="52"/>
      <c r="J33" s="105"/>
      <c r="K33" s="122"/>
      <c r="L33" s="132"/>
      <c r="N33" s="149"/>
    </row>
    <row r="34" spans="1:14">
      <c r="A34" s="60">
        <v>111</v>
      </c>
      <c r="B34" s="54" t="s">
        <v>44</v>
      </c>
      <c r="C34" s="76">
        <v>13125</v>
      </c>
      <c r="D34" s="76"/>
      <c r="E34" s="76"/>
      <c r="F34" s="76"/>
      <c r="G34" s="76"/>
      <c r="H34" s="76"/>
      <c r="I34" s="52">
        <f t="shared" si="3"/>
        <v>13125</v>
      </c>
      <c r="J34" s="76">
        <v>4179.51</v>
      </c>
      <c r="K34" s="122">
        <f t="shared" si="4"/>
        <v>8945.49</v>
      </c>
      <c r="L34" s="132">
        <f t="shared" ref="L34:L51" si="6">J34/$J$118</f>
        <v>1.4992304709995857E-3</v>
      </c>
      <c r="N34" s="149"/>
    </row>
    <row r="35" spans="1:14">
      <c r="A35" s="60">
        <v>113</v>
      </c>
      <c r="B35" s="54" t="s">
        <v>53</v>
      </c>
      <c r="C35" s="76">
        <v>24780</v>
      </c>
      <c r="D35" s="76"/>
      <c r="E35" s="76"/>
      <c r="F35" s="76"/>
      <c r="G35" s="76"/>
      <c r="H35" s="76"/>
      <c r="I35" s="52">
        <f t="shared" si="3"/>
        <v>24780</v>
      </c>
      <c r="J35" s="76">
        <v>12703</v>
      </c>
      <c r="K35" s="122">
        <f t="shared" si="4"/>
        <v>12077</v>
      </c>
      <c r="L35" s="132">
        <f t="shared" si="6"/>
        <v>4.5566883852671096E-3</v>
      </c>
      <c r="N35" s="149"/>
    </row>
    <row r="36" spans="1:14">
      <c r="A36" s="60">
        <v>114</v>
      </c>
      <c r="B36" s="54" t="s">
        <v>124</v>
      </c>
      <c r="C36" s="76">
        <v>5000</v>
      </c>
      <c r="D36" s="76"/>
      <c r="E36" s="76"/>
      <c r="F36" s="76"/>
      <c r="G36" s="76"/>
      <c r="H36" s="76"/>
      <c r="I36" s="52">
        <f t="shared" si="3"/>
        <v>5000</v>
      </c>
      <c r="J36" s="76">
        <v>40</v>
      </c>
      <c r="K36" s="122">
        <f t="shared" si="4"/>
        <v>4960</v>
      </c>
      <c r="L36" s="132">
        <f t="shared" si="6"/>
        <v>1.4348385059488654E-5</v>
      </c>
      <c r="N36" s="149"/>
    </row>
    <row r="37" spans="1:14">
      <c r="A37" s="60">
        <v>121</v>
      </c>
      <c r="B37" s="54" t="s">
        <v>55</v>
      </c>
      <c r="C37" s="76">
        <v>20000</v>
      </c>
      <c r="D37" s="76">
        <v>30000</v>
      </c>
      <c r="E37" s="76"/>
      <c r="F37" s="76"/>
      <c r="G37" s="76"/>
      <c r="H37" s="76"/>
      <c r="I37" s="52">
        <f t="shared" si="3"/>
        <v>50000</v>
      </c>
      <c r="J37" s="76">
        <v>22339</v>
      </c>
      <c r="K37" s="122">
        <f t="shared" si="4"/>
        <v>27661</v>
      </c>
      <c r="L37" s="132">
        <f t="shared" si="6"/>
        <v>8.0132143460979258E-3</v>
      </c>
      <c r="N37" s="149"/>
    </row>
    <row r="38" spans="1:14">
      <c r="A38" s="60">
        <v>122</v>
      </c>
      <c r="B38" s="54" t="s">
        <v>86</v>
      </c>
      <c r="C38" s="76">
        <v>17950</v>
      </c>
      <c r="D38" s="76">
        <v>10000</v>
      </c>
      <c r="E38" s="76"/>
      <c r="F38" s="76"/>
      <c r="G38" s="76"/>
      <c r="H38" s="76"/>
      <c r="I38" s="52">
        <f t="shared" si="3"/>
        <v>27950</v>
      </c>
      <c r="J38" s="76">
        <v>16895.5</v>
      </c>
      <c r="K38" s="122">
        <f t="shared" si="4"/>
        <v>11054.5</v>
      </c>
      <c r="L38" s="132">
        <f t="shared" si="6"/>
        <v>6.0605784943147641E-3</v>
      </c>
      <c r="M38" s="159"/>
      <c r="N38" s="149"/>
    </row>
    <row r="39" spans="1:14">
      <c r="A39" s="60">
        <v>131</v>
      </c>
      <c r="B39" s="54" t="s">
        <v>56</v>
      </c>
      <c r="C39" s="76">
        <v>1102000</v>
      </c>
      <c r="D39" s="76">
        <v>375000</v>
      </c>
      <c r="E39" s="76"/>
      <c r="F39" s="76"/>
      <c r="G39" s="76"/>
      <c r="H39" s="76"/>
      <c r="I39" s="52">
        <f t="shared" si="3"/>
        <v>1477000</v>
      </c>
      <c r="J39" s="76">
        <v>1470616.71</v>
      </c>
      <c r="K39" s="122">
        <f t="shared" si="4"/>
        <v>6383.2900000000373</v>
      </c>
      <c r="L39" s="132">
        <f t="shared" si="6"/>
        <v>0.52752437074995895</v>
      </c>
      <c r="N39" s="149"/>
    </row>
    <row r="40" spans="1:14">
      <c r="A40" s="60">
        <v>133</v>
      </c>
      <c r="B40" s="54" t="s">
        <v>57</v>
      </c>
      <c r="C40" s="76">
        <v>4546.67</v>
      </c>
      <c r="D40" s="76"/>
      <c r="E40" s="76"/>
      <c r="F40" s="76"/>
      <c r="G40" s="76"/>
      <c r="H40" s="76"/>
      <c r="I40" s="52">
        <f t="shared" si="3"/>
        <v>4546.67</v>
      </c>
      <c r="J40" s="76">
        <v>0</v>
      </c>
      <c r="K40" s="122">
        <f t="shared" si="4"/>
        <v>4546.67</v>
      </c>
      <c r="L40" s="132">
        <f t="shared" si="6"/>
        <v>0</v>
      </c>
      <c r="N40" s="149"/>
    </row>
    <row r="41" spans="1:14">
      <c r="A41" s="60">
        <v>134</v>
      </c>
      <c r="B41" s="54" t="s">
        <v>87</v>
      </c>
      <c r="C41" s="76">
        <v>0</v>
      </c>
      <c r="D41" s="76"/>
      <c r="E41" s="76"/>
      <c r="F41" s="76"/>
      <c r="G41" s="76"/>
      <c r="H41" s="76"/>
      <c r="I41" s="52">
        <f t="shared" si="3"/>
        <v>0</v>
      </c>
      <c r="J41" s="76">
        <v>0</v>
      </c>
      <c r="K41" s="122">
        <f t="shared" si="4"/>
        <v>0</v>
      </c>
      <c r="L41" s="132">
        <f t="shared" si="6"/>
        <v>0</v>
      </c>
      <c r="N41" s="149"/>
    </row>
    <row r="42" spans="1:14">
      <c r="A42" s="60">
        <v>135</v>
      </c>
      <c r="B42" s="54" t="s">
        <v>102</v>
      </c>
      <c r="C42" s="76">
        <v>124000</v>
      </c>
      <c r="D42" s="76"/>
      <c r="E42" s="76"/>
      <c r="F42" s="76"/>
      <c r="G42" s="76"/>
      <c r="H42" s="76"/>
      <c r="I42" s="52">
        <f>C42+D42-E42+F42-G42</f>
        <v>124000</v>
      </c>
      <c r="J42" s="76">
        <v>88814.67</v>
      </c>
      <c r="K42" s="122">
        <f t="shared" si="4"/>
        <v>35185.33</v>
      </c>
      <c r="L42" s="132">
        <f t="shared" si="6"/>
        <v>3.1858677102285383E-2</v>
      </c>
      <c r="N42" s="149"/>
    </row>
    <row r="43" spans="1:14">
      <c r="A43" s="60">
        <v>141</v>
      </c>
      <c r="B43" s="54" t="s">
        <v>76</v>
      </c>
      <c r="C43" s="76">
        <v>374045.69</v>
      </c>
      <c r="D43" s="76">
        <v>77000</v>
      </c>
      <c r="E43" s="76"/>
      <c r="F43" s="76"/>
      <c r="G43" s="76"/>
      <c r="H43" s="76"/>
      <c r="I43" s="52">
        <f t="shared" si="3"/>
        <v>451045.69</v>
      </c>
      <c r="J43" s="76">
        <v>446618.93000000005</v>
      </c>
      <c r="K43" s="122">
        <f t="shared" si="4"/>
        <v>4426.7599999999511</v>
      </c>
      <c r="L43" s="132">
        <f t="shared" si="6"/>
        <v>0.16020650956242025</v>
      </c>
      <c r="N43" s="149"/>
    </row>
    <row r="44" spans="1:14">
      <c r="A44" s="60">
        <v>142</v>
      </c>
      <c r="B44" s="54" t="s">
        <v>23</v>
      </c>
      <c r="C44" s="76">
        <v>32600</v>
      </c>
      <c r="D44" s="76"/>
      <c r="E44" s="76"/>
      <c r="F44" s="76"/>
      <c r="G44" s="76"/>
      <c r="H44" s="76"/>
      <c r="I44" s="52">
        <f t="shared" si="3"/>
        <v>32600</v>
      </c>
      <c r="J44" s="76">
        <v>0</v>
      </c>
      <c r="K44" s="122">
        <f t="shared" si="4"/>
        <v>32600</v>
      </c>
      <c r="L44" s="132">
        <f t="shared" si="6"/>
        <v>0</v>
      </c>
      <c r="N44" s="149"/>
    </row>
    <row r="45" spans="1:14">
      <c r="A45" s="60">
        <v>143</v>
      </c>
      <c r="B45" s="54" t="s">
        <v>127</v>
      </c>
      <c r="C45" s="76">
        <v>37071.31</v>
      </c>
      <c r="D45" s="76"/>
      <c r="E45" s="76"/>
      <c r="F45" s="76"/>
      <c r="G45" s="76"/>
      <c r="H45" s="76"/>
      <c r="I45" s="52">
        <f t="shared" si="3"/>
        <v>37071.31</v>
      </c>
      <c r="J45" s="76">
        <v>0</v>
      </c>
      <c r="K45" s="122">
        <f t="shared" si="4"/>
        <v>37071.31</v>
      </c>
      <c r="L45" s="132">
        <f t="shared" si="6"/>
        <v>0</v>
      </c>
      <c r="N45" s="149"/>
    </row>
    <row r="46" spans="1:14">
      <c r="A46" s="60">
        <v>151</v>
      </c>
      <c r="B46" s="54" t="s">
        <v>139</v>
      </c>
      <c r="C46" s="76">
        <v>70560</v>
      </c>
      <c r="D46" s="76"/>
      <c r="E46" s="76"/>
      <c r="F46" s="76"/>
      <c r="G46" s="76"/>
      <c r="H46" s="76"/>
      <c r="I46" s="52">
        <f t="shared" si="3"/>
        <v>70560</v>
      </c>
      <c r="J46" s="76">
        <v>35017.5</v>
      </c>
      <c r="K46" s="122">
        <f t="shared" si="4"/>
        <v>35542.5</v>
      </c>
      <c r="L46" s="132">
        <f t="shared" si="6"/>
        <v>1.2561114345516098E-2</v>
      </c>
      <c r="N46" s="149"/>
    </row>
    <row r="47" spans="1:14">
      <c r="A47" s="60">
        <v>155</v>
      </c>
      <c r="B47" s="54" t="s">
        <v>36</v>
      </c>
      <c r="C47" s="76">
        <v>0</v>
      </c>
      <c r="D47" s="76"/>
      <c r="E47" s="76"/>
      <c r="F47" s="76"/>
      <c r="G47" s="76"/>
      <c r="H47" s="76"/>
      <c r="I47" s="52">
        <f t="shared" si="3"/>
        <v>0</v>
      </c>
      <c r="J47" s="76">
        <v>0</v>
      </c>
      <c r="K47" s="122">
        <f t="shared" si="4"/>
        <v>0</v>
      </c>
      <c r="L47" s="132">
        <f t="shared" si="6"/>
        <v>0</v>
      </c>
      <c r="N47" s="149"/>
    </row>
    <row r="48" spans="1:14">
      <c r="A48" s="60">
        <v>158</v>
      </c>
      <c r="B48" s="54" t="s">
        <v>103</v>
      </c>
      <c r="C48" s="76">
        <v>4000</v>
      </c>
      <c r="D48" s="76">
        <v>2550</v>
      </c>
      <c r="E48" s="76"/>
      <c r="F48" s="76"/>
      <c r="G48" s="76"/>
      <c r="H48" s="76"/>
      <c r="I48" s="52">
        <f>C48+D48-E48+F48-G48</f>
        <v>6550</v>
      </c>
      <c r="J48" s="76">
        <v>5250</v>
      </c>
      <c r="K48" s="122">
        <f t="shared" si="4"/>
        <v>1300</v>
      </c>
      <c r="L48" s="132">
        <f t="shared" si="6"/>
        <v>1.8832255390578859E-3</v>
      </c>
      <c r="N48" s="149"/>
    </row>
    <row r="49" spans="1:14">
      <c r="A49" s="60">
        <v>162</v>
      </c>
      <c r="B49" s="54" t="s">
        <v>58</v>
      </c>
      <c r="C49" s="76">
        <v>1350</v>
      </c>
      <c r="D49" s="76"/>
      <c r="E49" s="76"/>
      <c r="F49" s="76"/>
      <c r="G49" s="76"/>
      <c r="H49" s="76"/>
      <c r="I49" s="52">
        <f t="shared" si="3"/>
        <v>1350</v>
      </c>
      <c r="J49" s="76">
        <v>0</v>
      </c>
      <c r="K49" s="122">
        <f t="shared" si="4"/>
        <v>1350</v>
      </c>
      <c r="L49" s="132">
        <f t="shared" si="6"/>
        <v>0</v>
      </c>
      <c r="N49" s="149"/>
    </row>
    <row r="50" spans="1:14">
      <c r="A50" s="60">
        <v>164</v>
      </c>
      <c r="B50" s="54" t="s">
        <v>45</v>
      </c>
      <c r="C50" s="76">
        <v>12500</v>
      </c>
      <c r="D50" s="76"/>
      <c r="E50" s="76"/>
      <c r="F50" s="76"/>
      <c r="G50" s="76"/>
      <c r="H50" s="76"/>
      <c r="I50" s="52">
        <f t="shared" si="3"/>
        <v>12500</v>
      </c>
      <c r="J50" s="76">
        <v>5250</v>
      </c>
      <c r="K50" s="122">
        <f t="shared" si="4"/>
        <v>7250</v>
      </c>
      <c r="L50" s="132">
        <f t="shared" si="6"/>
        <v>1.8832255390578859E-3</v>
      </c>
      <c r="N50" s="149"/>
    </row>
    <row r="51" spans="1:14">
      <c r="A51" s="60">
        <v>165</v>
      </c>
      <c r="B51" s="54" t="s">
        <v>104</v>
      </c>
      <c r="C51" s="76">
        <v>6900</v>
      </c>
      <c r="D51" s="76"/>
      <c r="E51" s="76"/>
      <c r="F51" s="76"/>
      <c r="G51" s="76"/>
      <c r="H51" s="76"/>
      <c r="I51" s="52">
        <f>C51+D51-E51+F51-G51</f>
        <v>6900</v>
      </c>
      <c r="J51" s="76">
        <v>948.60000000000014</v>
      </c>
      <c r="K51" s="122">
        <f t="shared" si="4"/>
        <v>5951.4</v>
      </c>
      <c r="L51" s="132">
        <f t="shared" si="6"/>
        <v>3.4027195168577349E-4</v>
      </c>
      <c r="N51" s="149"/>
    </row>
    <row r="52" spans="1:14">
      <c r="A52" s="60"/>
      <c r="B52" s="54"/>
      <c r="C52" s="76"/>
      <c r="D52" s="76"/>
      <c r="E52" s="76"/>
      <c r="F52" s="76"/>
      <c r="G52" s="76"/>
      <c r="H52" s="76"/>
      <c r="I52" s="52"/>
      <c r="J52" s="76"/>
      <c r="K52" s="122"/>
      <c r="L52" s="132"/>
      <c r="N52" s="149"/>
    </row>
    <row r="53" spans="1:14">
      <c r="A53" s="60"/>
      <c r="B53" s="54"/>
      <c r="C53" s="76"/>
      <c r="D53" s="76"/>
      <c r="E53" s="76"/>
      <c r="F53" s="76"/>
      <c r="G53" s="76"/>
      <c r="H53" s="76"/>
      <c r="I53" s="52"/>
      <c r="J53" s="76"/>
      <c r="K53" s="122"/>
      <c r="L53" s="132"/>
      <c r="N53" s="149"/>
    </row>
    <row r="54" spans="1:14">
      <c r="A54" s="60"/>
      <c r="B54" s="54"/>
      <c r="C54" s="76"/>
      <c r="D54" s="76"/>
      <c r="E54" s="76"/>
      <c r="F54" s="76"/>
      <c r="G54" s="76"/>
      <c r="H54" s="76"/>
      <c r="I54" s="52"/>
      <c r="J54" s="76"/>
      <c r="K54" s="122"/>
      <c r="L54" s="132"/>
      <c r="N54" s="149"/>
    </row>
    <row r="55" spans="1:14">
      <c r="A55" s="60"/>
      <c r="B55" s="54"/>
      <c r="C55" s="76"/>
      <c r="D55" s="76"/>
      <c r="E55" s="76"/>
      <c r="F55" s="76"/>
      <c r="G55" s="76"/>
      <c r="H55" s="76"/>
      <c r="I55" s="52"/>
      <c r="J55" s="76"/>
      <c r="K55" s="122"/>
      <c r="L55" s="132"/>
      <c r="N55" s="149"/>
    </row>
    <row r="56" spans="1:14">
      <c r="A56" s="60"/>
      <c r="B56" s="54"/>
      <c r="C56" s="76"/>
      <c r="D56" s="76"/>
      <c r="E56" s="76"/>
      <c r="F56" s="76"/>
      <c r="G56" s="76"/>
      <c r="H56" s="76"/>
      <c r="I56" s="52"/>
      <c r="J56" s="76"/>
      <c r="K56" s="122"/>
      <c r="L56" s="132"/>
      <c r="N56" s="149"/>
    </row>
    <row r="57" spans="1:14">
      <c r="A57" s="60"/>
      <c r="B57" s="54"/>
      <c r="C57" s="76"/>
      <c r="D57" s="76"/>
      <c r="E57" s="76"/>
      <c r="F57" s="76"/>
      <c r="G57" s="76"/>
      <c r="H57" s="76"/>
      <c r="I57" s="52"/>
      <c r="J57" s="76"/>
      <c r="K57" s="122"/>
      <c r="L57" s="132"/>
      <c r="N57" s="149"/>
    </row>
    <row r="58" spans="1:14">
      <c r="A58" s="60"/>
      <c r="B58" s="54"/>
      <c r="C58" s="76"/>
      <c r="D58" s="76"/>
      <c r="E58" s="76"/>
      <c r="F58" s="76"/>
      <c r="G58" s="76"/>
      <c r="H58" s="76"/>
      <c r="I58" s="52"/>
      <c r="J58" s="76"/>
      <c r="K58" s="122"/>
      <c r="L58" s="132"/>
      <c r="N58" s="149"/>
    </row>
    <row r="59" spans="1:14">
      <c r="A59" s="60"/>
      <c r="B59" s="54"/>
      <c r="C59" s="76"/>
      <c r="D59" s="76"/>
      <c r="E59" s="76"/>
      <c r="F59" s="76"/>
      <c r="G59" s="76"/>
      <c r="H59" s="76"/>
      <c r="I59" s="52"/>
      <c r="J59" s="76"/>
      <c r="K59" s="122"/>
      <c r="L59" s="132"/>
      <c r="N59" s="149"/>
    </row>
    <row r="60" spans="1:14">
      <c r="A60" s="60">
        <v>168</v>
      </c>
      <c r="B60" s="54" t="s">
        <v>59</v>
      </c>
      <c r="C60" s="76">
        <v>5500</v>
      </c>
      <c r="D60" s="76"/>
      <c r="E60" s="76"/>
      <c r="F60" s="76"/>
      <c r="G60" s="76"/>
      <c r="H60" s="76"/>
      <c r="I60" s="52">
        <f t="shared" si="3"/>
        <v>5500</v>
      </c>
      <c r="J60" s="76">
        <v>1240</v>
      </c>
      <c r="K60" s="122">
        <f t="shared" si="4"/>
        <v>4260</v>
      </c>
      <c r="L60" s="132">
        <f t="shared" ref="L60:L101" si="7">J60/$J$118</f>
        <v>4.4479993684414827E-4</v>
      </c>
      <c r="N60" s="149"/>
    </row>
    <row r="61" spans="1:14">
      <c r="A61" s="60">
        <v>174</v>
      </c>
      <c r="B61" s="54" t="s">
        <v>46</v>
      </c>
      <c r="C61" s="76">
        <v>5000</v>
      </c>
      <c r="D61" s="76"/>
      <c r="E61" s="76"/>
      <c r="F61" s="76"/>
      <c r="G61" s="76"/>
      <c r="H61" s="76"/>
      <c r="I61" s="52">
        <f t="shared" si="3"/>
        <v>5000</v>
      </c>
      <c r="J61" s="76">
        <v>140</v>
      </c>
      <c r="K61" s="122">
        <f t="shared" si="4"/>
        <v>4860</v>
      </c>
      <c r="L61" s="132">
        <f t="shared" si="7"/>
        <v>5.0219347708210289E-5</v>
      </c>
      <c r="N61" s="149"/>
    </row>
    <row r="62" spans="1:14">
      <c r="A62" s="60">
        <v>182</v>
      </c>
      <c r="B62" s="54" t="s">
        <v>61</v>
      </c>
      <c r="C62" s="76">
        <v>0</v>
      </c>
      <c r="D62" s="76"/>
      <c r="E62" s="76"/>
      <c r="F62" s="76"/>
      <c r="G62" s="76"/>
      <c r="H62" s="76"/>
      <c r="I62" s="52">
        <f t="shared" si="3"/>
        <v>0</v>
      </c>
      <c r="J62" s="76">
        <v>0</v>
      </c>
      <c r="K62" s="122">
        <f t="shared" si="4"/>
        <v>0</v>
      </c>
      <c r="L62" s="132">
        <f t="shared" si="7"/>
        <v>0</v>
      </c>
      <c r="N62" s="149"/>
    </row>
    <row r="63" spans="1:14">
      <c r="A63" s="60">
        <v>183</v>
      </c>
      <c r="B63" s="54" t="s">
        <v>105</v>
      </c>
      <c r="C63" s="76">
        <v>160000</v>
      </c>
      <c r="D63" s="76"/>
      <c r="E63" s="76"/>
      <c r="F63" s="76"/>
      <c r="G63" s="76"/>
      <c r="H63" s="76"/>
      <c r="I63" s="52">
        <f>C63+D63-E63+F63-G63</f>
        <v>160000</v>
      </c>
      <c r="J63" s="76">
        <v>25405</v>
      </c>
      <c r="K63" s="122">
        <f t="shared" si="4"/>
        <v>134595</v>
      </c>
      <c r="L63" s="132">
        <f t="shared" si="7"/>
        <v>9.1130180609077325E-3</v>
      </c>
      <c r="N63" s="149"/>
    </row>
    <row r="64" spans="1:14">
      <c r="A64" s="60">
        <v>184</v>
      </c>
      <c r="B64" s="54" t="s">
        <v>106</v>
      </c>
      <c r="C64" s="76">
        <v>42000</v>
      </c>
      <c r="D64" s="76"/>
      <c r="E64" s="76"/>
      <c r="F64" s="76"/>
      <c r="G64" s="76"/>
      <c r="H64" s="76"/>
      <c r="I64" s="52">
        <f t="shared" si="3"/>
        <v>42000</v>
      </c>
      <c r="J64" s="76">
        <v>17865.47</v>
      </c>
      <c r="K64" s="122">
        <f t="shared" si="4"/>
        <v>24134.53</v>
      </c>
      <c r="L64" s="132">
        <f t="shared" si="7"/>
        <v>6.4085160707185694E-3</v>
      </c>
      <c r="N64" s="149"/>
    </row>
    <row r="65" spans="1:14">
      <c r="A65" s="60">
        <v>185</v>
      </c>
      <c r="B65" s="54" t="s">
        <v>107</v>
      </c>
      <c r="C65" s="76">
        <v>69000</v>
      </c>
      <c r="D65" s="76"/>
      <c r="E65" s="76"/>
      <c r="F65" s="76"/>
      <c r="G65" s="76"/>
      <c r="H65" s="76"/>
      <c r="I65" s="52">
        <f>C65+D65-E65+F65-G65</f>
        <v>69000</v>
      </c>
      <c r="J65" s="76">
        <v>0</v>
      </c>
      <c r="K65" s="122">
        <f t="shared" si="4"/>
        <v>69000</v>
      </c>
      <c r="L65" s="132">
        <f t="shared" si="7"/>
        <v>0</v>
      </c>
      <c r="N65" s="149"/>
    </row>
    <row r="66" spans="1:14">
      <c r="A66" s="60">
        <v>186</v>
      </c>
      <c r="B66" s="54" t="s">
        <v>47</v>
      </c>
      <c r="C66" s="76">
        <v>2000</v>
      </c>
      <c r="D66" s="76"/>
      <c r="E66" s="76"/>
      <c r="F66" s="76"/>
      <c r="G66" s="76"/>
      <c r="H66" s="76"/>
      <c r="I66" s="52">
        <f t="shared" si="3"/>
        <v>2000</v>
      </c>
      <c r="J66" s="76">
        <v>930</v>
      </c>
      <c r="K66" s="122">
        <f t="shared" si="4"/>
        <v>1070</v>
      </c>
      <c r="L66" s="132">
        <f t="shared" si="7"/>
        <v>3.3359995263311125E-4</v>
      </c>
      <c r="N66" s="149"/>
    </row>
    <row r="67" spans="1:14">
      <c r="A67" s="60">
        <v>187</v>
      </c>
      <c r="B67" s="54" t="s">
        <v>108</v>
      </c>
      <c r="C67" s="76">
        <v>51600</v>
      </c>
      <c r="D67" s="76"/>
      <c r="E67" s="76"/>
      <c r="F67" s="76"/>
      <c r="G67" s="76"/>
      <c r="H67" s="76"/>
      <c r="I67" s="52">
        <f>C67+D67-E67+F67-G67</f>
        <v>51600</v>
      </c>
      <c r="J67" s="76">
        <v>3200</v>
      </c>
      <c r="K67" s="122">
        <f t="shared" si="4"/>
        <v>48400</v>
      </c>
      <c r="L67" s="132">
        <f t="shared" si="7"/>
        <v>1.1478708047590923E-3</v>
      </c>
      <c r="N67" s="149"/>
    </row>
    <row r="68" spans="1:14">
      <c r="A68" s="60">
        <v>188</v>
      </c>
      <c r="B68" s="54" t="s">
        <v>109</v>
      </c>
      <c r="C68" s="76">
        <v>0</v>
      </c>
      <c r="D68" s="76"/>
      <c r="E68" s="76"/>
      <c r="F68" s="76"/>
      <c r="G68" s="76"/>
      <c r="H68" s="76"/>
      <c r="I68" s="52">
        <f t="shared" si="3"/>
        <v>0</v>
      </c>
      <c r="J68" s="76">
        <v>0</v>
      </c>
      <c r="K68" s="122">
        <f t="shared" si="4"/>
        <v>0</v>
      </c>
      <c r="L68" s="132">
        <f t="shared" si="7"/>
        <v>0</v>
      </c>
      <c r="N68" s="149"/>
    </row>
    <row r="69" spans="1:14">
      <c r="A69" s="60">
        <v>189</v>
      </c>
      <c r="B69" s="54" t="s">
        <v>110</v>
      </c>
      <c r="C69" s="76">
        <v>0</v>
      </c>
      <c r="D69" s="76">
        <v>275000</v>
      </c>
      <c r="E69" s="76"/>
      <c r="F69" s="76"/>
      <c r="G69" s="76"/>
      <c r="H69" s="76"/>
      <c r="I69" s="52">
        <f>C69+D69-E69+F69-G69</f>
        <v>275000</v>
      </c>
      <c r="J69" s="76">
        <v>53479.020000000004</v>
      </c>
      <c r="K69" s="122">
        <f t="shared" si="4"/>
        <v>221520.97999999998</v>
      </c>
      <c r="L69" s="132">
        <f t="shared" si="7"/>
        <v>1.9183439289102374E-2</v>
      </c>
      <c r="N69" s="149"/>
    </row>
    <row r="70" spans="1:14">
      <c r="A70" s="60">
        <v>191</v>
      </c>
      <c r="B70" s="54" t="s">
        <v>111</v>
      </c>
      <c r="C70" s="76">
        <v>9000</v>
      </c>
      <c r="D70" s="76">
        <v>4000</v>
      </c>
      <c r="E70" s="76"/>
      <c r="F70" s="76"/>
      <c r="G70" s="76"/>
      <c r="H70" s="76"/>
      <c r="I70" s="52">
        <f t="shared" si="3"/>
        <v>13000</v>
      </c>
      <c r="J70" s="76">
        <v>824.38</v>
      </c>
      <c r="K70" s="122">
        <f t="shared" si="4"/>
        <v>12175.62</v>
      </c>
      <c r="L70" s="132">
        <f t="shared" si="7"/>
        <v>2.9571304188353144E-4</v>
      </c>
      <c r="N70" s="149"/>
    </row>
    <row r="71" spans="1:14">
      <c r="A71" s="60">
        <v>194</v>
      </c>
      <c r="B71" s="54" t="s">
        <v>112</v>
      </c>
      <c r="C71" s="76">
        <v>1080</v>
      </c>
      <c r="D71" s="76">
        <v>5000</v>
      </c>
      <c r="E71" s="76"/>
      <c r="F71" s="76"/>
      <c r="G71" s="76"/>
      <c r="H71" s="76"/>
      <c r="I71" s="52">
        <f>C71+D71-E71+F71-G71</f>
        <v>6080</v>
      </c>
      <c r="J71" s="76">
        <v>652.89</v>
      </c>
      <c r="K71" s="122">
        <f t="shared" si="4"/>
        <v>5427.11</v>
      </c>
      <c r="L71" s="132">
        <f t="shared" si="7"/>
        <v>2.341979280372387E-4</v>
      </c>
      <c r="N71" s="149"/>
    </row>
    <row r="72" spans="1:14">
      <c r="A72" s="60">
        <v>195</v>
      </c>
      <c r="B72" s="54" t="s">
        <v>37</v>
      </c>
      <c r="C72" s="76">
        <v>10000</v>
      </c>
      <c r="D72" s="76"/>
      <c r="E72" s="76"/>
      <c r="F72" s="76"/>
      <c r="G72" s="76"/>
      <c r="H72" s="76"/>
      <c r="I72" s="52">
        <f t="shared" si="3"/>
        <v>10000</v>
      </c>
      <c r="J72" s="76">
        <v>4658.3100000000004</v>
      </c>
      <c r="K72" s="122">
        <f t="shared" si="4"/>
        <v>5341.69</v>
      </c>
      <c r="L72" s="132">
        <f t="shared" si="7"/>
        <v>1.6709806401616651E-3</v>
      </c>
      <c r="N72" s="149"/>
    </row>
    <row r="73" spans="1:14">
      <c r="A73" s="60">
        <v>196</v>
      </c>
      <c r="B73" s="54" t="s">
        <v>113</v>
      </c>
      <c r="C73" s="76">
        <v>31300</v>
      </c>
      <c r="D73" s="76"/>
      <c r="E73" s="76"/>
      <c r="F73" s="76"/>
      <c r="G73" s="76"/>
      <c r="H73" s="76"/>
      <c r="I73" s="52">
        <f>C73+D73-E73+F73-G73</f>
        <v>31300</v>
      </c>
      <c r="J73" s="76">
        <v>6412.5</v>
      </c>
      <c r="K73" s="122">
        <f t="shared" si="4"/>
        <v>24887.5</v>
      </c>
      <c r="L73" s="132">
        <f t="shared" si="7"/>
        <v>2.3002254798492748E-3</v>
      </c>
      <c r="N73" s="149"/>
    </row>
    <row r="74" spans="1:14">
      <c r="A74" s="60">
        <v>199</v>
      </c>
      <c r="B74" s="54" t="s">
        <v>60</v>
      </c>
      <c r="C74" s="76">
        <v>26043.75</v>
      </c>
      <c r="D74" s="76"/>
      <c r="E74" s="76"/>
      <c r="F74" s="76"/>
      <c r="G74" s="76"/>
      <c r="H74" s="76"/>
      <c r="I74" s="52">
        <f t="shared" si="3"/>
        <v>26043.75</v>
      </c>
      <c r="J74" s="76">
        <v>1821.5</v>
      </c>
      <c r="K74" s="122">
        <f t="shared" si="4"/>
        <v>24222.25</v>
      </c>
      <c r="L74" s="132">
        <f t="shared" si="7"/>
        <v>6.5338958464646458E-4</v>
      </c>
      <c r="N74" s="149"/>
    </row>
    <row r="75" spans="1:14">
      <c r="A75" s="59">
        <v>2</v>
      </c>
      <c r="B75" s="59" t="s">
        <v>11</v>
      </c>
      <c r="C75" s="76"/>
      <c r="D75" s="76"/>
      <c r="E75" s="76"/>
      <c r="F75" s="76"/>
      <c r="G75" s="76"/>
      <c r="H75" s="76"/>
      <c r="I75" s="52"/>
      <c r="J75" s="105"/>
      <c r="K75" s="122"/>
      <c r="L75" s="132">
        <f t="shared" si="7"/>
        <v>0</v>
      </c>
      <c r="N75" s="149"/>
    </row>
    <row r="76" spans="1:14">
      <c r="A76" s="60">
        <v>211</v>
      </c>
      <c r="B76" s="54" t="s">
        <v>24</v>
      </c>
      <c r="C76" s="76">
        <v>66744.479999999996</v>
      </c>
      <c r="D76" s="76"/>
      <c r="E76" s="76"/>
      <c r="F76" s="76"/>
      <c r="G76" s="76"/>
      <c r="H76" s="76"/>
      <c r="I76" s="52">
        <f t="shared" si="3"/>
        <v>66744.479999999996</v>
      </c>
      <c r="J76" s="76">
        <v>27081.05</v>
      </c>
      <c r="K76" s="122">
        <f t="shared" si="4"/>
        <v>39663.429999999993</v>
      </c>
      <c r="L76" s="132">
        <f t="shared" si="7"/>
        <v>9.714233330381631E-3</v>
      </c>
      <c r="N76" s="149"/>
    </row>
    <row r="77" spans="1:14">
      <c r="A77" s="60">
        <v>219</v>
      </c>
      <c r="B77" s="54" t="s">
        <v>25</v>
      </c>
      <c r="C77" s="76">
        <v>0</v>
      </c>
      <c r="D77" s="76"/>
      <c r="E77" s="76"/>
      <c r="F77" s="76"/>
      <c r="G77" s="76"/>
      <c r="H77" s="76"/>
      <c r="I77" s="52">
        <f t="shared" si="3"/>
        <v>0</v>
      </c>
      <c r="J77" s="76">
        <v>0</v>
      </c>
      <c r="K77" s="122">
        <f t="shared" si="4"/>
        <v>0</v>
      </c>
      <c r="L77" s="132">
        <f t="shared" si="7"/>
        <v>0</v>
      </c>
      <c r="N77" s="149"/>
    </row>
    <row r="78" spans="1:14">
      <c r="A78" s="60">
        <v>232</v>
      </c>
      <c r="B78" s="54" t="s">
        <v>62</v>
      </c>
      <c r="C78" s="76">
        <v>1140</v>
      </c>
      <c r="D78" s="76"/>
      <c r="E78" s="76"/>
      <c r="F78" s="76"/>
      <c r="G78" s="76"/>
      <c r="H78" s="76"/>
      <c r="I78" s="52">
        <f t="shared" si="3"/>
        <v>1140</v>
      </c>
      <c r="J78" s="76">
        <v>260</v>
      </c>
      <c r="K78" s="122">
        <f t="shared" si="4"/>
        <v>880</v>
      </c>
      <c r="L78" s="132">
        <f t="shared" si="7"/>
        <v>9.3264502886676251E-5</v>
      </c>
      <c r="N78" s="149"/>
    </row>
    <row r="79" spans="1:14">
      <c r="A79" s="60">
        <v>233</v>
      </c>
      <c r="B79" s="54" t="s">
        <v>75</v>
      </c>
      <c r="C79" s="76">
        <v>58000</v>
      </c>
      <c r="D79" s="76"/>
      <c r="E79" s="76"/>
      <c r="F79" s="76"/>
      <c r="G79" s="76"/>
      <c r="H79" s="76"/>
      <c r="I79" s="52">
        <f t="shared" si="3"/>
        <v>58000</v>
      </c>
      <c r="J79" s="76">
        <v>3525</v>
      </c>
      <c r="K79" s="122">
        <f t="shared" si="4"/>
        <v>54475</v>
      </c>
      <c r="L79" s="132">
        <f t="shared" si="7"/>
        <v>1.2644514333674376E-3</v>
      </c>
      <c r="N79" s="149"/>
    </row>
    <row r="80" spans="1:14">
      <c r="A80" s="60">
        <v>241</v>
      </c>
      <c r="B80" s="54" t="s">
        <v>63</v>
      </c>
      <c r="C80" s="76">
        <v>3000</v>
      </c>
      <c r="D80" s="76">
        <v>3500</v>
      </c>
      <c r="E80" s="76"/>
      <c r="F80" s="76"/>
      <c r="G80" s="76"/>
      <c r="H80" s="76"/>
      <c r="I80" s="52">
        <f t="shared" si="3"/>
        <v>6500</v>
      </c>
      <c r="J80" s="76">
        <v>4308.2</v>
      </c>
      <c r="K80" s="122">
        <f t="shared" si="4"/>
        <v>2191.8000000000002</v>
      </c>
      <c r="L80" s="132">
        <f t="shared" si="7"/>
        <v>1.5453928128322254E-3</v>
      </c>
      <c r="N80" s="149"/>
    </row>
    <row r="81" spans="1:14">
      <c r="A81" s="60">
        <v>243</v>
      </c>
      <c r="B81" s="54" t="s">
        <v>48</v>
      </c>
      <c r="C81" s="76">
        <v>350</v>
      </c>
      <c r="D81" s="76"/>
      <c r="E81" s="76"/>
      <c r="F81" s="76"/>
      <c r="G81" s="76"/>
      <c r="H81" s="76"/>
      <c r="I81" s="52">
        <f t="shared" si="3"/>
        <v>350</v>
      </c>
      <c r="J81" s="76">
        <v>75.2</v>
      </c>
      <c r="K81" s="122">
        <f t="shared" si="4"/>
        <v>274.8</v>
      </c>
      <c r="L81" s="132">
        <f t="shared" si="7"/>
        <v>2.6974963911838673E-5</v>
      </c>
      <c r="N81" s="149"/>
    </row>
    <row r="82" spans="1:14">
      <c r="A82" s="60">
        <v>244</v>
      </c>
      <c r="B82" s="54" t="s">
        <v>49</v>
      </c>
      <c r="C82" s="76">
        <v>1000</v>
      </c>
      <c r="D82" s="76"/>
      <c r="E82" s="76"/>
      <c r="F82" s="76"/>
      <c r="G82" s="76"/>
      <c r="H82" s="76"/>
      <c r="I82" s="52">
        <f t="shared" si="3"/>
        <v>1000</v>
      </c>
      <c r="J82" s="76">
        <v>240</v>
      </c>
      <c r="K82" s="122">
        <f t="shared" si="4"/>
        <v>760</v>
      </c>
      <c r="L82" s="132">
        <f t="shared" si="7"/>
        <v>8.6090310356931924E-5</v>
      </c>
      <c r="N82" s="149"/>
    </row>
    <row r="83" spans="1:14">
      <c r="A83" s="60">
        <v>245</v>
      </c>
      <c r="B83" s="54" t="s">
        <v>50</v>
      </c>
      <c r="C83" s="76">
        <v>1305</v>
      </c>
      <c r="D83" s="76"/>
      <c r="E83" s="76"/>
      <c r="F83" s="76"/>
      <c r="G83" s="76"/>
      <c r="H83" s="76"/>
      <c r="I83" s="52">
        <f t="shared" si="3"/>
        <v>1305</v>
      </c>
      <c r="J83" s="76">
        <v>0</v>
      </c>
      <c r="K83" s="122">
        <f t="shared" si="4"/>
        <v>1305</v>
      </c>
      <c r="L83" s="132">
        <f t="shared" si="7"/>
        <v>0</v>
      </c>
      <c r="N83" s="149"/>
    </row>
    <row r="84" spans="1:14">
      <c r="A84" s="60">
        <v>253</v>
      </c>
      <c r="B84" s="54" t="s">
        <v>41</v>
      </c>
      <c r="C84" s="76">
        <v>2500</v>
      </c>
      <c r="D84" s="76"/>
      <c r="E84" s="76"/>
      <c r="F84" s="76"/>
      <c r="G84" s="76"/>
      <c r="H84" s="76"/>
      <c r="I84" s="52">
        <f t="shared" si="3"/>
        <v>2500</v>
      </c>
      <c r="J84" s="76">
        <v>0</v>
      </c>
      <c r="K84" s="122">
        <f t="shared" si="4"/>
        <v>2500</v>
      </c>
      <c r="L84" s="132">
        <f t="shared" si="7"/>
        <v>0</v>
      </c>
      <c r="N84" s="149"/>
    </row>
    <row r="85" spans="1:14">
      <c r="A85" s="60">
        <v>254</v>
      </c>
      <c r="B85" s="54" t="s">
        <v>51</v>
      </c>
      <c r="C85" s="76">
        <v>200</v>
      </c>
      <c r="D85" s="76">
        <v>500</v>
      </c>
      <c r="E85" s="76"/>
      <c r="F85" s="76"/>
      <c r="G85" s="76"/>
      <c r="H85" s="76"/>
      <c r="I85" s="52">
        <f t="shared" si="3"/>
        <v>700</v>
      </c>
      <c r="J85" s="76">
        <v>400</v>
      </c>
      <c r="K85" s="122">
        <f t="shared" si="4"/>
        <v>300</v>
      </c>
      <c r="L85" s="132">
        <f t="shared" si="7"/>
        <v>1.4348385059488654E-4</v>
      </c>
      <c r="N85" s="149"/>
    </row>
    <row r="86" spans="1:14">
      <c r="A86" s="60">
        <v>262</v>
      </c>
      <c r="B86" s="54" t="s">
        <v>64</v>
      </c>
      <c r="C86" s="76">
        <v>9770</v>
      </c>
      <c r="D86" s="76"/>
      <c r="E86" s="76"/>
      <c r="F86" s="76"/>
      <c r="G86" s="76"/>
      <c r="H86" s="76"/>
      <c r="I86" s="52">
        <f t="shared" si="3"/>
        <v>9770</v>
      </c>
      <c r="J86" s="76">
        <v>3714.82</v>
      </c>
      <c r="K86" s="122">
        <f t="shared" si="4"/>
        <v>6055.18</v>
      </c>
      <c r="L86" s="132">
        <f t="shared" si="7"/>
        <v>1.3325416946672411E-3</v>
      </c>
      <c r="N86" s="149"/>
    </row>
    <row r="87" spans="1:14">
      <c r="A87" s="60">
        <v>266</v>
      </c>
      <c r="B87" s="54" t="s">
        <v>65</v>
      </c>
      <c r="C87" s="76">
        <v>600</v>
      </c>
      <c r="D87" s="76"/>
      <c r="E87" s="76"/>
      <c r="F87" s="76"/>
      <c r="G87" s="76"/>
      <c r="H87" s="76"/>
      <c r="I87" s="52">
        <f t="shared" si="3"/>
        <v>600</v>
      </c>
      <c r="J87" s="76">
        <v>117.55000000000001</v>
      </c>
      <c r="K87" s="122">
        <f t="shared" si="4"/>
        <v>482.45</v>
      </c>
      <c r="L87" s="132">
        <f t="shared" si="7"/>
        <v>4.216631659357229E-5</v>
      </c>
      <c r="N87" s="149"/>
    </row>
    <row r="88" spans="1:14">
      <c r="A88" s="60">
        <v>267</v>
      </c>
      <c r="B88" s="54" t="s">
        <v>93</v>
      </c>
      <c r="C88" s="76">
        <v>15000</v>
      </c>
      <c r="D88" s="76"/>
      <c r="E88" s="76"/>
      <c r="F88" s="76"/>
      <c r="G88" s="76"/>
      <c r="H88" s="76"/>
      <c r="I88" s="52">
        <f t="shared" si="3"/>
        <v>15000</v>
      </c>
      <c r="J88" s="76">
        <v>11097</v>
      </c>
      <c r="K88" s="122">
        <f t="shared" si="4"/>
        <v>3903</v>
      </c>
      <c r="L88" s="132">
        <f t="shared" si="7"/>
        <v>3.9806007251286402E-3</v>
      </c>
      <c r="N88" s="149"/>
    </row>
    <row r="89" spans="1:14">
      <c r="A89" s="60">
        <v>268</v>
      </c>
      <c r="B89" s="54" t="s">
        <v>66</v>
      </c>
      <c r="C89" s="76">
        <v>1858</v>
      </c>
      <c r="D89" s="76"/>
      <c r="E89" s="76"/>
      <c r="F89" s="76"/>
      <c r="G89" s="76"/>
      <c r="H89" s="76"/>
      <c r="I89" s="52">
        <f t="shared" si="3"/>
        <v>1858</v>
      </c>
      <c r="J89" s="76">
        <v>904.15000000000009</v>
      </c>
      <c r="K89" s="122">
        <f t="shared" si="4"/>
        <v>953.84999999999991</v>
      </c>
      <c r="L89" s="132">
        <f t="shared" si="7"/>
        <v>3.2432730878841673E-4</v>
      </c>
      <c r="N89" s="149"/>
    </row>
    <row r="90" spans="1:14">
      <c r="A90" s="60">
        <v>269</v>
      </c>
      <c r="B90" s="54" t="s">
        <v>67</v>
      </c>
      <c r="C90" s="76">
        <v>500</v>
      </c>
      <c r="D90" s="76"/>
      <c r="E90" s="76"/>
      <c r="F90" s="76"/>
      <c r="G90" s="76"/>
      <c r="H90" s="76"/>
      <c r="I90" s="52">
        <f t="shared" si="3"/>
        <v>500</v>
      </c>
      <c r="J90" s="76">
        <v>0</v>
      </c>
      <c r="K90" s="122">
        <f t="shared" si="4"/>
        <v>500</v>
      </c>
      <c r="L90" s="132">
        <f t="shared" si="7"/>
        <v>0</v>
      </c>
      <c r="N90" s="149"/>
    </row>
    <row r="91" spans="1:14">
      <c r="A91" s="60">
        <v>271</v>
      </c>
      <c r="B91" s="54" t="s">
        <v>68</v>
      </c>
      <c r="C91" s="76">
        <v>381250</v>
      </c>
      <c r="D91" s="76"/>
      <c r="E91" s="76"/>
      <c r="F91" s="99"/>
      <c r="G91" s="76"/>
      <c r="H91" s="76"/>
      <c r="I91" s="52">
        <f t="shared" si="3"/>
        <v>381250</v>
      </c>
      <c r="J91" s="76">
        <v>0</v>
      </c>
      <c r="K91" s="122">
        <f t="shared" si="4"/>
        <v>381250</v>
      </c>
      <c r="L91" s="132">
        <f t="shared" si="7"/>
        <v>0</v>
      </c>
      <c r="N91" s="149"/>
    </row>
    <row r="92" spans="1:14">
      <c r="A92" s="60">
        <v>283</v>
      </c>
      <c r="B92" s="54" t="s">
        <v>69</v>
      </c>
      <c r="C92" s="76">
        <v>1000</v>
      </c>
      <c r="D92" s="76"/>
      <c r="E92" s="76"/>
      <c r="F92" s="76"/>
      <c r="G92" s="76"/>
      <c r="H92" s="76"/>
      <c r="I92" s="52">
        <f t="shared" si="3"/>
        <v>1000</v>
      </c>
      <c r="J92" s="76">
        <v>31.2</v>
      </c>
      <c r="K92" s="122">
        <f t="shared" si="4"/>
        <v>968.8</v>
      </c>
      <c r="L92" s="132">
        <f t="shared" si="7"/>
        <v>1.119174034640115E-5</v>
      </c>
      <c r="N92" s="149"/>
    </row>
    <row r="93" spans="1:14">
      <c r="A93" s="60">
        <v>284</v>
      </c>
      <c r="B93" s="54" t="s">
        <v>52</v>
      </c>
      <c r="C93" s="76">
        <v>5000</v>
      </c>
      <c r="D93" s="76">
        <v>7000</v>
      </c>
      <c r="E93" s="76"/>
      <c r="F93" s="76"/>
      <c r="G93" s="76"/>
      <c r="H93" s="76"/>
      <c r="I93" s="52">
        <f t="shared" si="3"/>
        <v>12000</v>
      </c>
      <c r="J93" s="76">
        <v>344.23</v>
      </c>
      <c r="K93" s="122">
        <f t="shared" ref="K93:K101" si="8">I93-J93</f>
        <v>11655.77</v>
      </c>
      <c r="L93" s="132">
        <f t="shared" si="7"/>
        <v>1.234786147256945E-4</v>
      </c>
      <c r="N93" s="149"/>
    </row>
    <row r="94" spans="1:14">
      <c r="A94" s="60">
        <v>285</v>
      </c>
      <c r="B94" s="54" t="s">
        <v>128</v>
      </c>
      <c r="C94" s="76">
        <v>1516915</v>
      </c>
      <c r="D94" s="76"/>
      <c r="E94" s="76">
        <v>476000</v>
      </c>
      <c r="F94" s="76"/>
      <c r="G94" s="76"/>
      <c r="H94" s="76"/>
      <c r="I94" s="52">
        <f t="shared" si="3"/>
        <v>1040915</v>
      </c>
      <c r="J94" s="76">
        <v>0</v>
      </c>
      <c r="K94" s="122">
        <f t="shared" si="8"/>
        <v>1040915</v>
      </c>
      <c r="L94" s="132">
        <f t="shared" si="7"/>
        <v>0</v>
      </c>
      <c r="N94" s="149"/>
    </row>
    <row r="95" spans="1:14">
      <c r="A95" s="60">
        <v>291</v>
      </c>
      <c r="B95" s="54" t="s">
        <v>70</v>
      </c>
      <c r="C95" s="76">
        <v>6500</v>
      </c>
      <c r="D95" s="76">
        <v>2500</v>
      </c>
      <c r="E95" s="76"/>
      <c r="F95" s="76"/>
      <c r="G95" s="76"/>
      <c r="H95" s="76"/>
      <c r="I95" s="52">
        <f t="shared" si="3"/>
        <v>9000</v>
      </c>
      <c r="J95" s="76">
        <v>4978.17</v>
      </c>
      <c r="K95" s="122">
        <f t="shared" si="8"/>
        <v>4021.83</v>
      </c>
      <c r="L95" s="132">
        <f t="shared" si="7"/>
        <v>1.785717501289866E-3</v>
      </c>
      <c r="N95" s="149"/>
    </row>
    <row r="96" spans="1:14">
      <c r="A96" s="60">
        <v>292</v>
      </c>
      <c r="B96" s="54" t="s">
        <v>71</v>
      </c>
      <c r="C96" s="76">
        <v>1300</v>
      </c>
      <c r="D96" s="76">
        <v>500</v>
      </c>
      <c r="E96" s="76"/>
      <c r="F96" s="76"/>
      <c r="G96" s="76"/>
      <c r="H96" s="76"/>
      <c r="I96" s="52">
        <f t="shared" si="3"/>
        <v>1800</v>
      </c>
      <c r="J96" s="76">
        <v>589.8599999999999</v>
      </c>
      <c r="K96" s="122">
        <f t="shared" si="8"/>
        <v>1210.1400000000001</v>
      </c>
      <c r="L96" s="132">
        <f t="shared" si="7"/>
        <v>2.1158846027974942E-4</v>
      </c>
      <c r="N96" s="149"/>
    </row>
    <row r="97" spans="1:14">
      <c r="A97" s="60">
        <v>294</v>
      </c>
      <c r="B97" s="54" t="s">
        <v>72</v>
      </c>
      <c r="C97" s="76">
        <v>65000</v>
      </c>
      <c r="D97" s="98"/>
      <c r="E97" s="98"/>
      <c r="F97" s="98"/>
      <c r="G97" s="98"/>
      <c r="H97" s="98"/>
      <c r="I97" s="52">
        <f t="shared" si="3"/>
        <v>65000</v>
      </c>
      <c r="J97" s="76">
        <v>18645.95</v>
      </c>
      <c r="K97" s="122">
        <f t="shared" si="8"/>
        <v>46354.05</v>
      </c>
      <c r="L97" s="132">
        <f t="shared" si="7"/>
        <v>6.6884817599993122E-3</v>
      </c>
      <c r="N97" s="149"/>
    </row>
    <row r="98" spans="1:14">
      <c r="A98" s="60">
        <v>296</v>
      </c>
      <c r="B98" s="54" t="s">
        <v>114</v>
      </c>
      <c r="C98" s="76">
        <v>800</v>
      </c>
      <c r="D98" s="76"/>
      <c r="E98" s="76"/>
      <c r="F98" s="76"/>
      <c r="G98" s="76"/>
      <c r="H98" s="76"/>
      <c r="I98" s="52">
        <f>C98+D98-E98+F98-G98</f>
        <v>800</v>
      </c>
      <c r="J98" s="76">
        <v>0</v>
      </c>
      <c r="K98" s="122">
        <f t="shared" si="8"/>
        <v>800</v>
      </c>
      <c r="L98" s="132">
        <f t="shared" si="7"/>
        <v>0</v>
      </c>
      <c r="N98" s="149"/>
    </row>
    <row r="99" spans="1:14">
      <c r="A99" s="60">
        <v>297</v>
      </c>
      <c r="B99" s="54" t="s">
        <v>73</v>
      </c>
      <c r="C99" s="76">
        <v>800</v>
      </c>
      <c r="D99" s="76"/>
      <c r="E99" s="76"/>
      <c r="F99" s="76"/>
      <c r="G99" s="76"/>
      <c r="H99" s="76"/>
      <c r="I99" s="52">
        <f t="shared" si="3"/>
        <v>800</v>
      </c>
      <c r="J99" s="76">
        <v>0</v>
      </c>
      <c r="K99" s="122">
        <f t="shared" si="8"/>
        <v>800</v>
      </c>
      <c r="L99" s="132">
        <f t="shared" si="7"/>
        <v>0</v>
      </c>
      <c r="N99" s="149"/>
    </row>
    <row r="100" spans="1:14">
      <c r="A100" s="60">
        <v>298</v>
      </c>
      <c r="B100" s="54" t="s">
        <v>26</v>
      </c>
      <c r="C100" s="76">
        <v>20000</v>
      </c>
      <c r="D100" s="98"/>
      <c r="E100" s="98"/>
      <c r="F100" s="76"/>
      <c r="G100" s="76"/>
      <c r="H100" s="76"/>
      <c r="I100" s="52">
        <f t="shared" si="3"/>
        <v>20000</v>
      </c>
      <c r="J100" s="76">
        <v>3028.94</v>
      </c>
      <c r="K100" s="122">
        <f t="shared" si="8"/>
        <v>16971.060000000001</v>
      </c>
      <c r="L100" s="132">
        <f t="shared" si="7"/>
        <v>1.0865099360521891E-3</v>
      </c>
      <c r="N100" s="149"/>
    </row>
    <row r="101" spans="1:14">
      <c r="A101" s="60">
        <v>299</v>
      </c>
      <c r="B101" s="54" t="s">
        <v>74</v>
      </c>
      <c r="C101" s="76">
        <v>15000</v>
      </c>
      <c r="D101" s="98"/>
      <c r="E101" s="98"/>
      <c r="F101" s="98"/>
      <c r="G101" s="98"/>
      <c r="H101" s="98"/>
      <c r="I101" s="52">
        <f t="shared" si="3"/>
        <v>15000</v>
      </c>
      <c r="J101" s="76">
        <v>5023.41</v>
      </c>
      <c r="K101" s="122">
        <f t="shared" si="8"/>
        <v>9976.59</v>
      </c>
      <c r="L101" s="132">
        <f t="shared" si="7"/>
        <v>1.8019455247921476E-3</v>
      </c>
      <c r="N101" s="149"/>
    </row>
    <row r="102" spans="1:14">
      <c r="A102" s="59">
        <v>3</v>
      </c>
      <c r="B102" s="59" t="s">
        <v>12</v>
      </c>
      <c r="C102" s="76"/>
      <c r="D102" s="76"/>
      <c r="E102" s="76"/>
      <c r="F102" s="76"/>
      <c r="G102" s="76"/>
      <c r="H102" s="76"/>
      <c r="I102" s="52"/>
      <c r="J102" s="105"/>
      <c r="K102" s="122"/>
      <c r="L102" s="132"/>
      <c r="N102" s="149"/>
    </row>
    <row r="103" spans="1:14">
      <c r="A103" s="60">
        <v>322</v>
      </c>
      <c r="B103" s="54" t="s">
        <v>88</v>
      </c>
      <c r="C103" s="76">
        <v>32000</v>
      </c>
      <c r="D103" s="76"/>
      <c r="E103" s="76"/>
      <c r="F103" s="76"/>
      <c r="G103" s="76"/>
      <c r="H103" s="76"/>
      <c r="I103" s="52">
        <f t="shared" si="3"/>
        <v>32000</v>
      </c>
      <c r="J103" s="76">
        <v>12025</v>
      </c>
      <c r="K103" s="122">
        <f t="shared" ref="K103:K116" si="9">I103-J103</f>
        <v>19975</v>
      </c>
      <c r="L103" s="132">
        <f>J103/$J$118</f>
        <v>4.3134832585087768E-3</v>
      </c>
      <c r="N103" s="149"/>
    </row>
    <row r="104" spans="1:14">
      <c r="A104" s="60">
        <v>323</v>
      </c>
      <c r="B104" s="54" t="s">
        <v>140</v>
      </c>
      <c r="C104" s="76">
        <v>3000</v>
      </c>
      <c r="D104" s="76"/>
      <c r="E104" s="76"/>
      <c r="F104" s="76"/>
      <c r="G104" s="76"/>
      <c r="H104" s="76"/>
      <c r="I104" s="52">
        <f t="shared" si="3"/>
        <v>3000</v>
      </c>
      <c r="J104" s="76">
        <v>0</v>
      </c>
      <c r="K104" s="122">
        <f t="shared" si="9"/>
        <v>3000</v>
      </c>
      <c r="L104" s="132">
        <f>J104/$J$118</f>
        <v>0</v>
      </c>
      <c r="N104" s="149"/>
    </row>
    <row r="105" spans="1:14">
      <c r="A105" s="60">
        <v>324</v>
      </c>
      <c r="B105" s="54" t="s">
        <v>141</v>
      </c>
      <c r="C105" s="76">
        <v>116220</v>
      </c>
      <c r="D105" s="76"/>
      <c r="E105" s="76"/>
      <c r="F105" s="76"/>
      <c r="G105" s="76"/>
      <c r="H105" s="76"/>
      <c r="I105" s="52">
        <f t="shared" si="3"/>
        <v>116220</v>
      </c>
      <c r="J105" s="76">
        <v>11100</v>
      </c>
      <c r="K105" s="122">
        <f t="shared" si="9"/>
        <v>105120</v>
      </c>
      <c r="L105" s="132">
        <f>J105/$J$118</f>
        <v>3.981676854008102E-3</v>
      </c>
      <c r="N105" s="149"/>
    </row>
    <row r="106" spans="1:14">
      <c r="A106" s="60">
        <v>328</v>
      </c>
      <c r="B106" s="54" t="s">
        <v>89</v>
      </c>
      <c r="C106" s="76">
        <v>18000</v>
      </c>
      <c r="D106" s="76"/>
      <c r="E106" s="76"/>
      <c r="F106" s="76"/>
      <c r="G106" s="76"/>
      <c r="H106" s="76"/>
      <c r="I106" s="52">
        <f t="shared" si="3"/>
        <v>18000</v>
      </c>
      <c r="J106" s="76">
        <v>11820</v>
      </c>
      <c r="K106" s="122">
        <f t="shared" si="9"/>
        <v>6180</v>
      </c>
      <c r="L106" s="132">
        <f>J106/$J$118</f>
        <v>4.2399477850788977E-3</v>
      </c>
      <c r="N106" s="149"/>
    </row>
    <row r="107" spans="1:14">
      <c r="A107" s="60">
        <v>329</v>
      </c>
      <c r="B107" s="54" t="s">
        <v>90</v>
      </c>
      <c r="C107" s="76">
        <v>8000</v>
      </c>
      <c r="D107" s="76">
        <v>5000</v>
      </c>
      <c r="E107" s="76"/>
      <c r="F107" s="76"/>
      <c r="G107" s="76"/>
      <c r="H107" s="76"/>
      <c r="I107" s="52">
        <f t="shared" si="3"/>
        <v>13000</v>
      </c>
      <c r="J107" s="76">
        <v>0</v>
      </c>
      <c r="K107" s="122">
        <f t="shared" si="9"/>
        <v>13000</v>
      </c>
      <c r="L107" s="132">
        <f>J107/$J$118</f>
        <v>0</v>
      </c>
      <c r="N107" s="149"/>
    </row>
    <row r="108" spans="1:14">
      <c r="A108" s="60"/>
      <c r="B108" s="54"/>
      <c r="C108" s="76"/>
      <c r="D108" s="76"/>
      <c r="E108" s="76"/>
      <c r="F108" s="76"/>
      <c r="G108" s="76"/>
      <c r="H108" s="76"/>
      <c r="I108" s="52"/>
      <c r="J108" s="76"/>
      <c r="K108" s="122"/>
      <c r="L108" s="132"/>
      <c r="N108" s="149"/>
    </row>
    <row r="109" spans="1:14">
      <c r="A109" s="60"/>
      <c r="B109" s="54"/>
      <c r="C109" s="76"/>
      <c r="D109" s="76"/>
      <c r="E109" s="76"/>
      <c r="F109" s="76"/>
      <c r="G109" s="76"/>
      <c r="H109" s="76"/>
      <c r="I109" s="52"/>
      <c r="J109" s="76"/>
      <c r="K109" s="122"/>
      <c r="L109" s="132"/>
      <c r="N109" s="149"/>
    </row>
    <row r="110" spans="1:14">
      <c r="A110" s="59"/>
      <c r="B110" s="59"/>
      <c r="C110" s="76"/>
      <c r="D110" s="76"/>
      <c r="E110" s="76"/>
      <c r="F110" s="76"/>
      <c r="G110" s="76"/>
      <c r="H110" s="76"/>
      <c r="I110" s="52"/>
      <c r="J110" s="76"/>
      <c r="K110" s="122"/>
      <c r="L110" s="132"/>
      <c r="N110" s="149"/>
    </row>
    <row r="111" spans="1:14">
      <c r="A111" s="59">
        <v>4</v>
      </c>
      <c r="B111" s="59" t="s">
        <v>13</v>
      </c>
      <c r="C111" s="76"/>
      <c r="D111" s="76"/>
      <c r="E111" s="76"/>
      <c r="F111" s="76"/>
      <c r="G111" s="76"/>
      <c r="H111" s="76"/>
      <c r="I111" s="52"/>
      <c r="J111" s="76"/>
      <c r="K111" s="122"/>
      <c r="L111" s="132"/>
      <c r="N111" s="149"/>
    </row>
    <row r="112" spans="1:14">
      <c r="A112" s="61">
        <v>413</v>
      </c>
      <c r="B112" s="62" t="s">
        <v>77</v>
      </c>
      <c r="C112" s="76">
        <v>46000</v>
      </c>
      <c r="D112" s="76"/>
      <c r="E112" s="76"/>
      <c r="F112" s="76"/>
      <c r="G112" s="129"/>
      <c r="H112" s="129"/>
      <c r="I112" s="52">
        <f t="shared" ref="I112:I116" si="10">C112+D112-E112+F112-G112</f>
        <v>46000</v>
      </c>
      <c r="J112" s="76">
        <v>0</v>
      </c>
      <c r="K112" s="122">
        <f t="shared" si="9"/>
        <v>46000</v>
      </c>
      <c r="L112" s="132">
        <f>J112/$J$118</f>
        <v>0</v>
      </c>
      <c r="N112" s="149"/>
    </row>
    <row r="113" spans="1:14">
      <c r="A113" s="61">
        <v>415</v>
      </c>
      <c r="B113" s="62" t="s">
        <v>78</v>
      </c>
      <c r="C113" s="76">
        <v>30100</v>
      </c>
      <c r="D113" s="76"/>
      <c r="E113" s="76"/>
      <c r="F113" s="76"/>
      <c r="G113" s="129"/>
      <c r="H113" s="129"/>
      <c r="I113" s="52">
        <f t="shared" si="10"/>
        <v>30100</v>
      </c>
      <c r="J113" s="76">
        <v>0</v>
      </c>
      <c r="K113" s="122">
        <f t="shared" si="9"/>
        <v>30100</v>
      </c>
      <c r="L113" s="132">
        <f>J113/$J$118</f>
        <v>0</v>
      </c>
      <c r="N113" s="149"/>
    </row>
    <row r="114" spans="1:14">
      <c r="A114" s="61">
        <v>419</v>
      </c>
      <c r="B114" s="62" t="s">
        <v>79</v>
      </c>
      <c r="C114" s="76">
        <v>19200</v>
      </c>
      <c r="D114" s="76"/>
      <c r="E114" s="76"/>
      <c r="F114" s="129"/>
      <c r="G114" s="129"/>
      <c r="H114" s="129"/>
      <c r="I114" s="52">
        <f t="shared" si="10"/>
        <v>19200</v>
      </c>
      <c r="J114" s="76">
        <v>2200</v>
      </c>
      <c r="K114" s="122">
        <f t="shared" si="9"/>
        <v>17000</v>
      </c>
      <c r="L114" s="132">
        <f>J114/$J$118</f>
        <v>7.8916117827187602E-4</v>
      </c>
      <c r="N114" s="149"/>
    </row>
    <row r="115" spans="1:14">
      <c r="A115" s="61">
        <v>453</v>
      </c>
      <c r="B115" s="62" t="s">
        <v>80</v>
      </c>
      <c r="C115" s="76">
        <v>120000</v>
      </c>
      <c r="D115" s="76"/>
      <c r="E115" s="76"/>
      <c r="F115" s="129"/>
      <c r="G115" s="129"/>
      <c r="H115" s="129"/>
      <c r="I115" s="52">
        <f>C115+D115-E115+F115-G115</f>
        <v>120000</v>
      </c>
      <c r="J115" s="76">
        <v>119286.35</v>
      </c>
      <c r="K115" s="122">
        <f t="shared" si="9"/>
        <v>713.64999999999418</v>
      </c>
      <c r="L115" s="132">
        <f>J115/$J$118</f>
        <v>4.2789162053523365E-2</v>
      </c>
      <c r="N115" s="149"/>
    </row>
    <row r="116" spans="1:14">
      <c r="A116" s="61">
        <v>472</v>
      </c>
      <c r="B116" s="62" t="s">
        <v>118</v>
      </c>
      <c r="C116" s="76">
        <v>4000</v>
      </c>
      <c r="D116" s="76"/>
      <c r="E116" s="76"/>
      <c r="F116" s="129"/>
      <c r="G116" s="129"/>
      <c r="H116" s="129"/>
      <c r="I116" s="52">
        <f t="shared" si="10"/>
        <v>4000</v>
      </c>
      <c r="J116" s="76">
        <v>2089.9</v>
      </c>
      <c r="K116" s="122">
        <f t="shared" si="9"/>
        <v>1910.1</v>
      </c>
      <c r="L116" s="132">
        <f>J116/$J$118</f>
        <v>7.4966724839563347E-4</v>
      </c>
      <c r="N116" s="149"/>
    </row>
    <row r="117" spans="1:14" ht="20.25" customHeight="1" thickBot="1">
      <c r="A117" s="56"/>
      <c r="B117" s="160"/>
      <c r="C117" s="161"/>
      <c r="D117" s="76"/>
      <c r="E117" s="76"/>
      <c r="F117" s="101"/>
      <c r="G117" s="101"/>
      <c r="H117" s="101"/>
      <c r="I117" s="52"/>
      <c r="J117" s="101"/>
      <c r="K117" s="125"/>
      <c r="L117" s="132"/>
    </row>
    <row r="118" spans="1:14" ht="20.25" customHeight="1" thickBot="1">
      <c r="A118" s="162"/>
      <c r="B118" s="19" t="s">
        <v>7</v>
      </c>
      <c r="C118" s="11">
        <f>SUM(C20:C117)</f>
        <v>6176079.2063746657</v>
      </c>
      <c r="D118" s="11">
        <f>SUM(D20:D117)</f>
        <v>833550</v>
      </c>
      <c r="E118" s="11">
        <f>SUM(E20:E117)</f>
        <v>833550</v>
      </c>
      <c r="F118" s="11">
        <f t="shared" ref="F118:K118" si="11">SUM(F20:F117)</f>
        <v>0</v>
      </c>
      <c r="G118" s="11">
        <f t="shared" si="11"/>
        <v>0</v>
      </c>
      <c r="H118" s="11">
        <f t="shared" si="11"/>
        <v>0</v>
      </c>
      <c r="I118" s="11">
        <f t="shared" si="11"/>
        <v>6176079.2063746667</v>
      </c>
      <c r="J118" s="63">
        <f>SUM(J20:J117)</f>
        <v>2787770.18</v>
      </c>
      <c r="K118" s="11">
        <f t="shared" si="11"/>
        <v>3388309.026374667</v>
      </c>
      <c r="L118" s="163">
        <f>J118/J118</f>
        <v>1</v>
      </c>
    </row>
    <row r="119" spans="1:14" ht="20.25" customHeight="1">
      <c r="A119" s="164"/>
      <c r="B119" s="36"/>
      <c r="C119" s="37"/>
      <c r="D119" s="37"/>
      <c r="E119" s="37"/>
      <c r="F119" s="37"/>
      <c r="G119" s="64"/>
      <c r="H119" s="37"/>
      <c r="I119" s="37"/>
      <c r="J119" s="64"/>
      <c r="K119" s="37"/>
      <c r="L119" s="39"/>
    </row>
    <row r="120" spans="1:14" ht="20.25" customHeight="1" thickBot="1">
      <c r="A120" s="164"/>
      <c r="B120" s="36"/>
      <c r="C120" s="37"/>
      <c r="D120" s="37"/>
      <c r="E120" s="37"/>
      <c r="F120" s="37"/>
      <c r="G120" s="37"/>
      <c r="H120" s="37"/>
      <c r="I120" s="37"/>
      <c r="J120" s="64"/>
      <c r="K120" s="37"/>
      <c r="L120" s="39"/>
    </row>
    <row r="121" spans="1:14" s="35" customFormat="1">
      <c r="A121" s="81" t="s">
        <v>8</v>
      </c>
      <c r="B121" s="81"/>
      <c r="C121" s="165"/>
      <c r="D121" s="32"/>
      <c r="E121" s="32"/>
      <c r="F121" s="96"/>
      <c r="G121" s="96"/>
      <c r="H121" s="96"/>
      <c r="I121" s="42"/>
      <c r="J121" s="32"/>
      <c r="K121" s="33"/>
      <c r="L121" s="34"/>
    </row>
    <row r="122" spans="1:14" s="35" customFormat="1">
      <c r="A122" s="84" t="s">
        <v>0</v>
      </c>
      <c r="B122" s="84"/>
      <c r="C122" s="166"/>
      <c r="D122" s="32"/>
      <c r="E122" s="32"/>
      <c r="F122" s="96"/>
      <c r="G122" s="96"/>
      <c r="H122" s="96"/>
      <c r="I122" s="42"/>
      <c r="J122" s="32"/>
      <c r="K122" s="33"/>
      <c r="L122" s="34"/>
    </row>
    <row r="123" spans="1:14" s="35" customFormat="1" ht="12" customHeight="1" thickBot="1">
      <c r="A123" s="84"/>
      <c r="B123" s="84"/>
      <c r="C123" s="166"/>
      <c r="D123" s="32"/>
      <c r="E123" s="32"/>
      <c r="F123" s="96"/>
      <c r="G123" s="96"/>
      <c r="H123" s="96"/>
      <c r="I123" s="42"/>
      <c r="J123" s="32"/>
      <c r="K123" s="33"/>
      <c r="L123" s="34"/>
    </row>
    <row r="124" spans="1:14" s="35" customFormat="1">
      <c r="A124" s="90" t="s">
        <v>121</v>
      </c>
      <c r="B124" s="85"/>
      <c r="C124" s="167"/>
      <c r="D124" s="32"/>
      <c r="E124" s="32"/>
      <c r="F124" s="96"/>
      <c r="G124" s="96"/>
      <c r="H124" s="96"/>
      <c r="I124" s="42"/>
      <c r="J124" s="32"/>
      <c r="K124" s="33"/>
      <c r="L124" s="34"/>
    </row>
    <row r="125" spans="1:14" s="35" customFormat="1">
      <c r="A125" s="91" t="s">
        <v>131</v>
      </c>
      <c r="B125" s="83"/>
      <c r="C125" s="168">
        <v>1077959.21</v>
      </c>
      <c r="D125" s="32"/>
      <c r="E125" s="169"/>
      <c r="F125" s="96"/>
      <c r="G125" s="96"/>
      <c r="H125" s="96"/>
      <c r="I125" s="42"/>
      <c r="J125" s="32"/>
      <c r="K125" s="33"/>
      <c r="L125" s="34"/>
    </row>
    <row r="126" spans="1:14" s="35" customFormat="1">
      <c r="A126" s="91" t="s">
        <v>81</v>
      </c>
      <c r="B126" s="83"/>
      <c r="C126" s="168">
        <f>ROUND((J18),2)</f>
        <v>3168444.55</v>
      </c>
      <c r="D126" s="32"/>
      <c r="E126" s="169"/>
      <c r="F126" s="135"/>
      <c r="G126" s="96"/>
      <c r="H126" s="96"/>
      <c r="I126" s="42"/>
      <c r="J126" s="32"/>
      <c r="K126" s="33"/>
      <c r="L126" s="34"/>
    </row>
    <row r="127" spans="1:14" s="35" customFormat="1">
      <c r="A127" s="91" t="s">
        <v>94</v>
      </c>
      <c r="B127" s="83"/>
      <c r="C127" s="109">
        <f>-ROUND((J118),2)</f>
        <v>-2787770.18</v>
      </c>
      <c r="D127" s="32"/>
      <c r="E127" s="169"/>
      <c r="F127" s="135"/>
      <c r="G127" s="96"/>
      <c r="H127" s="96"/>
      <c r="I127" s="42"/>
      <c r="J127" s="32"/>
      <c r="K127" s="33"/>
      <c r="L127" s="34"/>
    </row>
    <row r="128" spans="1:14" s="35" customFormat="1">
      <c r="A128" s="93" t="s">
        <v>120</v>
      </c>
      <c r="B128" s="83"/>
      <c r="C128" s="170">
        <f>SUM(C125:C127)</f>
        <v>1458633.5799999996</v>
      </c>
      <c r="D128" s="171"/>
      <c r="E128" s="169"/>
      <c r="F128" s="135"/>
      <c r="G128" s="96"/>
      <c r="H128" s="96"/>
      <c r="I128" s="42"/>
      <c r="J128" s="32"/>
      <c r="K128" s="33"/>
      <c r="L128" s="34"/>
    </row>
    <row r="129" spans="1:12" s="35" customFormat="1">
      <c r="A129" s="92" t="s">
        <v>122</v>
      </c>
      <c r="B129" s="82"/>
      <c r="C129" s="119"/>
      <c r="D129" s="32"/>
      <c r="E129" s="32"/>
      <c r="F129" s="130"/>
      <c r="G129" s="118"/>
      <c r="H129" s="96"/>
      <c r="I129" s="42"/>
      <c r="J129" s="32"/>
      <c r="K129" s="33"/>
      <c r="L129" s="34"/>
    </row>
    <row r="130" spans="1:12" s="35" customFormat="1">
      <c r="A130" s="91"/>
      <c r="B130" s="83"/>
      <c r="C130" s="168">
        <v>0</v>
      </c>
      <c r="D130" s="32"/>
      <c r="E130" s="32"/>
      <c r="F130" s="131"/>
      <c r="G130" s="118"/>
      <c r="H130" s="96"/>
      <c r="I130" s="42"/>
      <c r="J130" s="32"/>
      <c r="K130" s="33"/>
      <c r="L130" s="34"/>
    </row>
    <row r="131" spans="1:12" s="35" customFormat="1" ht="6.95" customHeight="1">
      <c r="A131" s="91"/>
      <c r="B131" s="83"/>
      <c r="C131" s="109"/>
      <c r="D131" s="32"/>
      <c r="E131" s="95"/>
      <c r="F131" s="117"/>
      <c r="G131" s="118"/>
      <c r="H131" s="96"/>
      <c r="I131" s="42"/>
      <c r="J131" s="32"/>
      <c r="K131" s="33"/>
      <c r="L131" s="34"/>
    </row>
    <row r="132" spans="1:12" s="35" customFormat="1">
      <c r="A132" s="91"/>
      <c r="B132" s="83"/>
      <c r="C132" s="170">
        <f>SUM(C130:C131)</f>
        <v>0</v>
      </c>
      <c r="D132" s="32"/>
      <c r="E132" s="32"/>
      <c r="F132" s="117"/>
      <c r="G132" s="118"/>
      <c r="H132" s="96"/>
      <c r="I132" s="42"/>
      <c r="J132" s="32"/>
      <c r="K132" s="33"/>
      <c r="L132" s="34"/>
    </row>
    <row r="133" spans="1:12" s="35" customFormat="1" ht="6.95" customHeight="1">
      <c r="A133" s="91"/>
      <c r="B133" s="83"/>
      <c r="C133" s="109"/>
      <c r="D133" s="32"/>
      <c r="E133" s="32"/>
      <c r="F133" s="96"/>
      <c r="G133" s="96"/>
      <c r="H133" s="96"/>
      <c r="I133" s="42"/>
      <c r="J133" s="32"/>
      <c r="K133" s="33"/>
      <c r="L133" s="34"/>
    </row>
    <row r="134" spans="1:12" s="35" customFormat="1" ht="6.95" customHeight="1">
      <c r="A134" s="91"/>
      <c r="B134" s="83"/>
      <c r="C134" s="172"/>
      <c r="D134" s="32"/>
      <c r="E134" s="32"/>
      <c r="F134" s="96"/>
      <c r="G134" s="96"/>
      <c r="H134" s="96"/>
      <c r="I134" s="42"/>
      <c r="J134" s="32"/>
      <c r="K134" s="33"/>
      <c r="L134" s="34"/>
    </row>
    <row r="135" spans="1:12" s="35" customFormat="1" ht="18.75" thickBot="1">
      <c r="A135" s="93" t="s">
        <v>168</v>
      </c>
      <c r="B135" s="88"/>
      <c r="C135" s="173">
        <f>C128+C132</f>
        <v>1458633.5799999996</v>
      </c>
      <c r="D135" s="174"/>
      <c r="F135" s="96"/>
      <c r="G135" s="96"/>
      <c r="H135" s="96"/>
      <c r="I135" s="42"/>
      <c r="J135" s="32"/>
      <c r="K135" s="33"/>
      <c r="L135" s="34"/>
    </row>
    <row r="136" spans="1:12" s="35" customFormat="1" ht="6.95" customHeight="1" thickTop="1" thickBot="1">
      <c r="A136" s="94"/>
      <c r="B136" s="87"/>
      <c r="C136" s="175"/>
      <c r="D136" s="174"/>
      <c r="F136" s="96"/>
      <c r="G136" s="96"/>
      <c r="H136" s="96"/>
      <c r="I136" s="42"/>
      <c r="J136" s="32"/>
      <c r="K136" s="33"/>
      <c r="L136" s="34"/>
    </row>
    <row r="137" spans="1:12">
      <c r="A137" s="43"/>
      <c r="B137" s="43"/>
      <c r="C137" s="176">
        <f>1458633.58-C135</f>
        <v>0</v>
      </c>
      <c r="D137" s="174"/>
      <c r="F137" s="136"/>
      <c r="G137" s="102"/>
      <c r="H137" s="102"/>
      <c r="I137" s="102"/>
      <c r="J137" s="102"/>
      <c r="K137" s="102"/>
      <c r="L137" s="102"/>
    </row>
    <row r="138" spans="1:12">
      <c r="A138" s="43"/>
      <c r="B138" s="43"/>
      <c r="C138" s="177"/>
      <c r="D138" s="174"/>
      <c r="F138" s="102"/>
      <c r="G138" s="102"/>
      <c r="H138" s="102"/>
      <c r="I138" s="102"/>
      <c r="J138" s="102"/>
      <c r="K138" s="102"/>
      <c r="L138" s="102"/>
    </row>
    <row r="139" spans="1:12">
      <c r="A139" s="36"/>
      <c r="B139" s="178" t="s">
        <v>170</v>
      </c>
      <c r="C139" s="179"/>
      <c r="D139" s="174"/>
      <c r="E139" s="95"/>
      <c r="F139" s="102"/>
      <c r="G139" s="102"/>
      <c r="I139" s="102"/>
      <c r="J139" s="102"/>
      <c r="K139" s="102"/>
      <c r="L139" s="102"/>
    </row>
    <row r="140" spans="1:12">
      <c r="A140" s="36"/>
      <c r="B140" s="43"/>
      <c r="C140" s="180"/>
      <c r="D140" s="174"/>
      <c r="E140" s="102"/>
      <c r="F140" s="102"/>
      <c r="G140" s="102"/>
      <c r="H140" s="102"/>
      <c r="I140" s="102"/>
      <c r="J140" s="102"/>
      <c r="K140" s="102"/>
      <c r="L140" s="102"/>
    </row>
    <row r="141" spans="1:12">
      <c r="A141" s="36"/>
      <c r="B141" s="43"/>
      <c r="C141" s="180"/>
      <c r="D141" s="174"/>
      <c r="E141" s="102"/>
      <c r="F141" s="102"/>
      <c r="G141" s="102"/>
      <c r="H141" s="102"/>
      <c r="I141" s="102"/>
      <c r="J141" s="102"/>
      <c r="K141" s="102"/>
      <c r="L141" s="102"/>
    </row>
    <row r="142" spans="1:12">
      <c r="A142" s="36"/>
      <c r="B142" s="43"/>
      <c r="C142" s="149"/>
      <c r="D142" s="174"/>
      <c r="E142" s="102"/>
      <c r="F142" s="102"/>
      <c r="G142" s="102"/>
      <c r="H142" s="102"/>
      <c r="I142" s="102"/>
      <c r="J142" s="102"/>
      <c r="K142" s="102"/>
      <c r="L142" s="102"/>
    </row>
    <row r="143" spans="1:12">
      <c r="A143" s="36"/>
      <c r="B143" s="43"/>
      <c r="C143" s="149"/>
      <c r="E143" s="102"/>
      <c r="F143" s="102"/>
      <c r="G143" s="102"/>
      <c r="H143" s="102"/>
      <c r="I143" s="102"/>
      <c r="J143" s="102"/>
      <c r="K143" s="102"/>
      <c r="L143" s="102"/>
    </row>
    <row r="144" spans="1:12">
      <c r="A144" s="164"/>
      <c r="B144" s="43"/>
      <c r="C144" s="45"/>
      <c r="D144" s="42"/>
      <c r="E144" s="95"/>
      <c r="F144" s="95"/>
      <c r="G144" s="102"/>
      <c r="H144" s="102"/>
      <c r="I144" s="102"/>
      <c r="J144" s="102"/>
      <c r="K144" s="102"/>
      <c r="L144" s="102"/>
    </row>
    <row r="145" spans="1:13">
      <c r="A145" s="164"/>
      <c r="B145" s="102"/>
      <c r="C145" s="181"/>
      <c r="D145" s="102"/>
      <c r="E145" s="95"/>
      <c r="F145" s="95"/>
      <c r="G145" s="102"/>
      <c r="H145" s="102"/>
      <c r="I145" s="102"/>
      <c r="J145" s="102"/>
      <c r="K145" s="102"/>
      <c r="L145" s="102"/>
    </row>
    <row r="146" spans="1:13" ht="18.75">
      <c r="A146" s="164"/>
      <c r="B146" s="103" t="s">
        <v>152</v>
      </c>
      <c r="C146" s="182" t="s">
        <v>153</v>
      </c>
      <c r="E146" s="103"/>
      <c r="F146" s="103"/>
      <c r="G146" s="182" t="s">
        <v>156</v>
      </c>
      <c r="J146" s="103"/>
      <c r="K146" s="126"/>
      <c r="L146" s="103"/>
    </row>
    <row r="147" spans="1:13" ht="18.75">
      <c r="A147" s="164"/>
      <c r="B147" s="183" t="s">
        <v>154</v>
      </c>
      <c r="C147" s="184" t="s">
        <v>155</v>
      </c>
      <c r="E147" s="104"/>
      <c r="F147" s="145"/>
      <c r="G147" s="184" t="s">
        <v>148</v>
      </c>
      <c r="J147" s="104"/>
      <c r="K147" s="104"/>
      <c r="L147" s="104"/>
    </row>
    <row r="148" spans="1:13" ht="18.75">
      <c r="A148" s="164"/>
      <c r="B148" s="104"/>
      <c r="D148" s="126"/>
      <c r="E148" s="104"/>
      <c r="F148" s="104"/>
      <c r="G148" s="104"/>
      <c r="H148" s="104"/>
      <c r="I148" s="185"/>
      <c r="J148" s="104"/>
      <c r="K148" s="104"/>
      <c r="L148" s="104"/>
    </row>
    <row r="149" spans="1:13" ht="18.75">
      <c r="A149" s="164"/>
      <c r="B149" s="104"/>
      <c r="C149" s="149"/>
      <c r="D149" s="104"/>
      <c r="F149" s="104"/>
      <c r="G149" s="104"/>
      <c r="H149" s="104"/>
      <c r="I149" s="104"/>
      <c r="J149" s="104"/>
      <c r="L149" s="104"/>
    </row>
    <row r="150" spans="1:13">
      <c r="A150" s="29"/>
      <c r="B150" s="153"/>
      <c r="C150" s="114"/>
      <c r="D150" s="153"/>
      <c r="F150" s="116"/>
      <c r="G150" s="116"/>
      <c r="H150" s="116"/>
      <c r="I150" s="153"/>
      <c r="J150" s="116"/>
      <c r="L150" s="34"/>
      <c r="M150" s="35"/>
    </row>
    <row r="151" spans="1:13">
      <c r="A151" s="29"/>
      <c r="B151" s="113"/>
      <c r="C151" s="114"/>
      <c r="D151" s="116"/>
      <c r="E151" s="116"/>
      <c r="F151" s="116"/>
      <c r="G151" s="116"/>
      <c r="H151" s="116"/>
      <c r="I151" s="116"/>
      <c r="J151" s="116"/>
      <c r="K151" s="33"/>
      <c r="L151" s="34"/>
      <c r="M151" s="35"/>
    </row>
    <row r="152" spans="1:13">
      <c r="A152" s="36"/>
      <c r="B152" s="28"/>
      <c r="C152" s="115"/>
      <c r="D152" s="116"/>
      <c r="E152" s="116"/>
      <c r="F152" s="116"/>
      <c r="G152" s="116"/>
      <c r="H152" s="116"/>
      <c r="I152" s="116"/>
      <c r="J152" s="116"/>
      <c r="K152" s="38"/>
      <c r="L152" s="39"/>
      <c r="M152" s="35"/>
    </row>
    <row r="153" spans="1:13">
      <c r="A153" s="36"/>
      <c r="B153" s="259"/>
      <c r="C153" s="259"/>
      <c r="D153" s="41"/>
      <c r="E153" s="40"/>
      <c r="F153" s="28"/>
      <c r="G153" s="28"/>
      <c r="H153" s="40"/>
      <c r="I153" s="40"/>
      <c r="J153" s="40"/>
      <c r="K153" s="40"/>
      <c r="L153" s="40"/>
      <c r="M153" s="35"/>
    </row>
    <row r="154" spans="1:13">
      <c r="A154" s="36"/>
      <c r="B154" s="36"/>
      <c r="C154" s="28"/>
      <c r="D154" s="28"/>
      <c r="E154" s="42"/>
      <c r="F154" s="28"/>
      <c r="G154" s="28"/>
      <c r="H154" s="42"/>
      <c r="I154" s="42"/>
      <c r="J154" s="42"/>
      <c r="K154" s="42"/>
      <c r="L154" s="42"/>
      <c r="M154" s="35"/>
    </row>
    <row r="155" spans="1:13">
      <c r="A155" s="36"/>
      <c r="B155" s="43"/>
      <c r="C155" s="42"/>
      <c r="D155" s="28"/>
      <c r="E155" s="28"/>
      <c r="F155" s="28"/>
      <c r="G155" s="28"/>
      <c r="H155" s="28"/>
      <c r="I155" s="28"/>
      <c r="J155" s="28"/>
      <c r="K155" s="28"/>
      <c r="L155" s="28"/>
      <c r="M155" s="35"/>
    </row>
    <row r="156" spans="1:13">
      <c r="A156" s="36"/>
      <c r="B156" s="43"/>
      <c r="C156" s="42"/>
      <c r="D156" s="28"/>
      <c r="E156" s="28"/>
      <c r="F156" s="28"/>
      <c r="G156" s="28"/>
      <c r="H156" s="28"/>
      <c r="I156" s="28"/>
      <c r="J156" s="28"/>
      <c r="K156" s="28"/>
      <c r="L156" s="44"/>
      <c r="M156" s="35"/>
    </row>
    <row r="157" spans="1:13">
      <c r="A157" s="36"/>
      <c r="B157" s="43"/>
      <c r="C157" s="42"/>
      <c r="D157" s="28"/>
      <c r="E157" s="28"/>
      <c r="F157" s="28"/>
      <c r="G157" s="28"/>
      <c r="H157" s="28"/>
      <c r="I157" s="28"/>
      <c r="J157" s="28"/>
      <c r="K157" s="28"/>
      <c r="L157" s="28"/>
      <c r="M157" s="35"/>
    </row>
    <row r="158" spans="1:13">
      <c r="A158" s="36"/>
      <c r="B158" s="43"/>
      <c r="C158" s="45"/>
      <c r="D158" s="28"/>
      <c r="E158" s="28"/>
      <c r="F158" s="28"/>
      <c r="G158" s="28"/>
      <c r="H158" s="28"/>
      <c r="I158" s="28"/>
      <c r="J158" s="28"/>
      <c r="K158" s="28"/>
      <c r="L158" s="28"/>
      <c r="M158" s="35"/>
    </row>
    <row r="159" spans="1:13">
      <c r="A159" s="36"/>
      <c r="B159" s="43"/>
      <c r="C159" s="45"/>
      <c r="D159" s="28"/>
      <c r="E159" s="28"/>
      <c r="F159" s="35"/>
      <c r="G159" s="35"/>
      <c r="H159" s="28"/>
      <c r="I159" s="28"/>
      <c r="J159" s="28"/>
      <c r="K159" s="28"/>
      <c r="L159" s="28"/>
      <c r="M159" s="35"/>
    </row>
    <row r="160" spans="1:13">
      <c r="A160" s="36"/>
      <c r="B160" s="35"/>
      <c r="C160" s="35"/>
      <c r="D160" s="28"/>
      <c r="E160" s="28"/>
      <c r="F160" s="35"/>
      <c r="G160" s="35"/>
      <c r="H160" s="28"/>
      <c r="I160" s="28"/>
      <c r="J160" s="28"/>
      <c r="K160" s="28"/>
      <c r="L160" s="28"/>
      <c r="M160" s="35"/>
    </row>
    <row r="161" spans="1:13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</row>
    <row r="162" spans="1:13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</row>
    <row r="163" spans="1:13">
      <c r="A163" s="35"/>
      <c r="B163" s="35"/>
      <c r="C163" s="35"/>
      <c r="D163" s="35"/>
      <c r="E163" s="35"/>
      <c r="H163" s="35"/>
      <c r="I163" s="35"/>
      <c r="J163" s="35"/>
      <c r="K163" s="35"/>
      <c r="L163" s="35"/>
      <c r="M163" s="35"/>
    </row>
    <row r="164" spans="1:13">
      <c r="A164" s="35"/>
      <c r="D164" s="35"/>
      <c r="E164" s="35"/>
      <c r="H164" s="35"/>
      <c r="I164" s="35"/>
      <c r="J164" s="35"/>
      <c r="K164" s="35"/>
      <c r="L164" s="35"/>
      <c r="M164" s="35"/>
    </row>
  </sheetData>
  <mergeCells count="4">
    <mergeCell ref="J6:J7"/>
    <mergeCell ref="B153:C153"/>
    <mergeCell ref="A6:A7"/>
    <mergeCell ref="B6:B7"/>
  </mergeCells>
  <printOptions horizontalCentered="1"/>
  <pageMargins left="0.39370078740157483" right="0.39370078740157483" top="0.78740157480314965" bottom="0.78740157480314965" header="0.31496062992125984" footer="0.31496062992125984"/>
  <pageSetup scale="5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4"/>
  <sheetViews>
    <sheetView showGridLines="0" zoomScale="75" zoomScaleNormal="75" workbookViewId="0">
      <selection activeCell="D7" sqref="D7"/>
    </sheetView>
  </sheetViews>
  <sheetFormatPr baseColWidth="10" defaultColWidth="11.42578125" defaultRowHeight="18"/>
  <cols>
    <col min="1" max="1" width="11.7109375" style="5" customWidth="1"/>
    <col min="2" max="2" width="67.7109375" style="5" customWidth="1"/>
    <col min="3" max="3" width="18.7109375" style="5" customWidth="1"/>
    <col min="4" max="7" width="17.7109375" style="5" customWidth="1"/>
    <col min="8" max="8" width="14.7109375" style="5" customWidth="1"/>
    <col min="9" max="9" width="18.7109375" style="5" customWidth="1"/>
    <col min="10" max="11" width="19.7109375" style="5" customWidth="1"/>
    <col min="12" max="12" width="12.7109375" style="5" customWidth="1"/>
    <col min="13" max="13" width="7" style="5" customWidth="1"/>
    <col min="14" max="14" width="19.5703125" style="5" bestFit="1" customWidth="1"/>
    <col min="15" max="16384" width="11.42578125" style="5"/>
  </cols>
  <sheetData>
    <row r="1" spans="1:14">
      <c r="A1" s="97" t="s">
        <v>39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4">
      <c r="A2" s="97" t="s">
        <v>119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4">
      <c r="A3" s="97" t="s">
        <v>172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</row>
    <row r="4" spans="1:14" ht="17.850000000000001" customHeight="1">
      <c r="A4" s="97" t="s">
        <v>0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</row>
    <row r="5" spans="1:14" ht="17.850000000000001" customHeight="1" thickBo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</row>
    <row r="6" spans="1:14" ht="18.75" thickBot="1">
      <c r="A6" s="260" t="s">
        <v>5</v>
      </c>
      <c r="B6" s="262" t="s">
        <v>40</v>
      </c>
      <c r="C6" s="3" t="s">
        <v>1</v>
      </c>
      <c r="D6" s="256" t="s">
        <v>171</v>
      </c>
      <c r="E6" s="256"/>
      <c r="F6" s="256" t="s">
        <v>191</v>
      </c>
      <c r="G6" s="256"/>
      <c r="H6" s="3" t="s">
        <v>42</v>
      </c>
      <c r="I6" s="3" t="s">
        <v>1</v>
      </c>
      <c r="J6" s="265" t="s">
        <v>2</v>
      </c>
      <c r="K6" s="4" t="s">
        <v>29</v>
      </c>
      <c r="L6" s="3" t="s">
        <v>31</v>
      </c>
    </row>
    <row r="7" spans="1:14" ht="18.75" thickBot="1">
      <c r="A7" s="261"/>
      <c r="B7" s="263"/>
      <c r="C7" s="6" t="s">
        <v>3</v>
      </c>
      <c r="D7" s="7" t="s">
        <v>145</v>
      </c>
      <c r="E7" s="7" t="s">
        <v>146</v>
      </c>
      <c r="F7" s="7" t="s">
        <v>145</v>
      </c>
      <c r="G7" s="7" t="s">
        <v>146</v>
      </c>
      <c r="H7" s="6" t="s">
        <v>33</v>
      </c>
      <c r="I7" s="6" t="s">
        <v>4</v>
      </c>
      <c r="J7" s="266"/>
      <c r="K7" s="8" t="s">
        <v>30</v>
      </c>
      <c r="L7" s="9" t="s">
        <v>32</v>
      </c>
    </row>
    <row r="8" spans="1:14">
      <c r="A8" s="69"/>
      <c r="B8" s="71" t="s">
        <v>116</v>
      </c>
      <c r="C8" s="98"/>
      <c r="D8" s="98"/>
      <c r="E8" s="98"/>
      <c r="F8" s="98"/>
      <c r="G8" s="98"/>
      <c r="H8" s="98"/>
      <c r="I8" s="98"/>
      <c r="J8" s="208"/>
      <c r="K8" s="203"/>
      <c r="L8" s="98"/>
    </row>
    <row r="9" spans="1:14">
      <c r="A9" s="60"/>
      <c r="B9" s="70" t="s">
        <v>117</v>
      </c>
      <c r="C9" s="52">
        <v>1077959.21</v>
      </c>
      <c r="D9" s="127"/>
      <c r="E9" s="52"/>
      <c r="F9" s="127"/>
      <c r="G9" s="127"/>
      <c r="H9" s="127"/>
      <c r="I9" s="128">
        <f t="shared" ref="I9:I16" si="0">C9+D9-E9+F9-G9</f>
        <v>1077959.21</v>
      </c>
      <c r="J9" s="133"/>
      <c r="K9" s="203">
        <f t="shared" ref="K9:K16" si="1">I9-J9+H9</f>
        <v>1077959.21</v>
      </c>
      <c r="L9" s="146">
        <f>J9/J18</f>
        <v>0</v>
      </c>
    </row>
    <row r="10" spans="1:14">
      <c r="A10" s="60" t="s">
        <v>27</v>
      </c>
      <c r="B10" s="54" t="s">
        <v>54</v>
      </c>
      <c r="C10" s="52">
        <f>12500+60000+1000</f>
        <v>73500</v>
      </c>
      <c r="D10" s="52"/>
      <c r="E10" s="52"/>
      <c r="F10" s="52"/>
      <c r="G10" s="52"/>
      <c r="H10" s="52"/>
      <c r="I10" s="52">
        <f>C10+D10-E10+F10-G10</f>
        <v>73500</v>
      </c>
      <c r="J10" s="133">
        <v>74597</v>
      </c>
      <c r="K10" s="189">
        <f t="shared" si="1"/>
        <v>-1097</v>
      </c>
      <c r="L10" s="146">
        <f>J10/J18</f>
        <v>2.3371964127642825E-2</v>
      </c>
      <c r="N10" s="147"/>
    </row>
    <row r="11" spans="1:14">
      <c r="A11" s="148" t="s">
        <v>95</v>
      </c>
      <c r="B11" s="54" t="s">
        <v>96</v>
      </c>
      <c r="C11" s="52">
        <v>4000</v>
      </c>
      <c r="D11" s="52"/>
      <c r="E11" s="52"/>
      <c r="F11" s="52"/>
      <c r="G11" s="52"/>
      <c r="H11" s="52"/>
      <c r="I11" s="52">
        <f t="shared" si="0"/>
        <v>4000</v>
      </c>
      <c r="J11" s="133">
        <v>1854.82</v>
      </c>
      <c r="K11" s="189">
        <f t="shared" si="1"/>
        <v>2145.1800000000003</v>
      </c>
      <c r="L11" s="146">
        <f>J11/J18</f>
        <v>5.8113310861340891E-4</v>
      </c>
      <c r="N11" s="147"/>
    </row>
    <row r="12" spans="1:14">
      <c r="A12" s="60" t="s">
        <v>97</v>
      </c>
      <c r="B12" s="54" t="s">
        <v>133</v>
      </c>
      <c r="C12" s="52">
        <v>3172620</v>
      </c>
      <c r="D12" s="52"/>
      <c r="E12" s="52"/>
      <c r="F12" s="52"/>
      <c r="G12" s="52"/>
      <c r="H12" s="52"/>
      <c r="I12" s="52">
        <f t="shared" si="0"/>
        <v>3172620</v>
      </c>
      <c r="J12" s="133">
        <f>1049646.93+201855.31+0.02</f>
        <v>1251502.26</v>
      </c>
      <c r="K12" s="189">
        <f t="shared" si="1"/>
        <v>1921117.74</v>
      </c>
      <c r="L12" s="146">
        <f>J12/J18</f>
        <v>0.39210780495708841</v>
      </c>
      <c r="N12" s="149"/>
    </row>
    <row r="13" spans="1:14">
      <c r="A13" s="60" t="s">
        <v>97</v>
      </c>
      <c r="B13" s="54" t="s">
        <v>134</v>
      </c>
      <c r="C13" s="52">
        <v>1828000</v>
      </c>
      <c r="D13" s="52"/>
      <c r="E13" s="52"/>
      <c r="F13" s="202"/>
      <c r="G13" s="52"/>
      <c r="H13" s="52"/>
      <c r="I13" s="52">
        <f t="shared" si="0"/>
        <v>1828000</v>
      </c>
      <c r="J13" s="133">
        <f>1537761.06+326014.9</f>
        <v>1863775.96</v>
      </c>
      <c r="K13" s="189">
        <f t="shared" si="1"/>
        <v>-35775.959999999963</v>
      </c>
      <c r="L13" s="146">
        <f>J13/J18</f>
        <v>0.58393909780665532</v>
      </c>
    </row>
    <row r="14" spans="1:14">
      <c r="A14" s="60" t="s">
        <v>97</v>
      </c>
      <c r="B14" s="54" t="s">
        <v>99</v>
      </c>
      <c r="C14" s="52">
        <v>20000</v>
      </c>
      <c r="D14" s="52"/>
      <c r="E14" s="52"/>
      <c r="F14" s="52"/>
      <c r="G14" s="52"/>
      <c r="H14" s="52"/>
      <c r="I14" s="52">
        <f>C14+D14-E14+F14-G14</f>
        <v>20000</v>
      </c>
      <c r="J14" s="133">
        <v>0</v>
      </c>
      <c r="K14" s="203">
        <f>I14-J14+H14</f>
        <v>20000</v>
      </c>
      <c r="L14" s="146">
        <v>0</v>
      </c>
    </row>
    <row r="15" spans="1:14">
      <c r="A15" s="60" t="s">
        <v>97</v>
      </c>
      <c r="B15" s="54" t="s">
        <v>144</v>
      </c>
      <c r="C15" s="52">
        <v>0</v>
      </c>
      <c r="D15" s="52"/>
      <c r="E15" s="52"/>
      <c r="F15" s="52"/>
      <c r="G15" s="52"/>
      <c r="H15" s="52"/>
      <c r="I15" s="52">
        <f t="shared" si="0"/>
        <v>0</v>
      </c>
      <c r="J15" s="133">
        <v>0</v>
      </c>
      <c r="K15" s="203">
        <f t="shared" si="1"/>
        <v>0</v>
      </c>
      <c r="L15" s="146">
        <v>0</v>
      </c>
    </row>
    <row r="16" spans="1:14">
      <c r="A16" s="60" t="s">
        <v>97</v>
      </c>
      <c r="B16" s="54" t="s">
        <v>98</v>
      </c>
      <c r="C16" s="52">
        <v>0</v>
      </c>
      <c r="D16" s="52"/>
      <c r="E16" s="52"/>
      <c r="F16" s="52"/>
      <c r="G16" s="52"/>
      <c r="H16" s="52"/>
      <c r="I16" s="52">
        <f t="shared" si="0"/>
        <v>0</v>
      </c>
      <c r="J16" s="133">
        <v>0</v>
      </c>
      <c r="K16" s="203">
        <f t="shared" si="1"/>
        <v>0</v>
      </c>
      <c r="L16" s="146">
        <v>0</v>
      </c>
    </row>
    <row r="17" spans="1:14" ht="18.75" thickBot="1">
      <c r="A17" s="150"/>
      <c r="B17" s="151"/>
      <c r="C17" s="128">
        <v>0</v>
      </c>
      <c r="D17" s="128"/>
      <c r="E17" s="128"/>
      <c r="F17" s="128"/>
      <c r="G17" s="128"/>
      <c r="H17" s="128"/>
      <c r="I17" s="128">
        <f>H17</f>
        <v>0</v>
      </c>
      <c r="J17" s="133">
        <v>0</v>
      </c>
      <c r="K17" s="204">
        <f>-J17+H17</f>
        <v>0</v>
      </c>
      <c r="L17" s="152">
        <f>J17/J18</f>
        <v>0</v>
      </c>
      <c r="N17" s="42"/>
    </row>
    <row r="18" spans="1:14" ht="18.75" customHeight="1" thickBot="1">
      <c r="A18" s="68"/>
      <c r="B18" s="67" t="s">
        <v>6</v>
      </c>
      <c r="C18" s="11">
        <f t="shared" ref="C18:I18" si="2">SUM(C9:C17)</f>
        <v>6176079.21</v>
      </c>
      <c r="D18" s="63">
        <f t="shared" si="2"/>
        <v>0</v>
      </c>
      <c r="E18" s="63">
        <f t="shared" si="2"/>
        <v>0</v>
      </c>
      <c r="F18" s="63">
        <f t="shared" si="2"/>
        <v>0</v>
      </c>
      <c r="G18" s="63">
        <f t="shared" si="2"/>
        <v>0</v>
      </c>
      <c r="H18" s="63">
        <f t="shared" si="2"/>
        <v>0</v>
      </c>
      <c r="I18" s="11">
        <f t="shared" si="2"/>
        <v>6176079.21</v>
      </c>
      <c r="J18" s="209">
        <f>SUM(J9:J17)</f>
        <v>3191730.04</v>
      </c>
      <c r="K18" s="11">
        <f>SUM(K9:K17)</f>
        <v>2984349.17</v>
      </c>
      <c r="L18" s="12">
        <f>SUM(L17:L17)</f>
        <v>0</v>
      </c>
    </row>
    <row r="19" spans="1:14">
      <c r="A19" s="141" t="s">
        <v>5</v>
      </c>
      <c r="B19" s="142" t="s">
        <v>115</v>
      </c>
      <c r="C19" s="157"/>
      <c r="D19" s="157"/>
      <c r="E19" s="98"/>
      <c r="F19" s="98"/>
      <c r="G19" s="98"/>
      <c r="H19" s="98"/>
      <c r="I19" s="98"/>
      <c r="J19" s="210"/>
      <c r="K19" s="98"/>
      <c r="L19" s="98"/>
    </row>
    <row r="20" spans="1:14">
      <c r="A20" s="158">
        <v>0</v>
      </c>
      <c r="B20" s="59" t="s">
        <v>9</v>
      </c>
      <c r="C20" s="76"/>
      <c r="D20" s="100"/>
      <c r="E20" s="100"/>
      <c r="F20" s="76"/>
      <c r="G20" s="76"/>
      <c r="H20" s="76"/>
      <c r="I20" s="76"/>
      <c r="J20" s="211"/>
      <c r="K20" s="124"/>
      <c r="L20" s="132"/>
    </row>
    <row r="21" spans="1:14">
      <c r="A21" s="53" t="s">
        <v>14</v>
      </c>
      <c r="B21" s="54" t="s">
        <v>84</v>
      </c>
      <c r="C21" s="76">
        <v>574724</v>
      </c>
      <c r="D21" s="76"/>
      <c r="E21" s="76"/>
      <c r="F21" s="76"/>
      <c r="G21" s="76"/>
      <c r="H21" s="76"/>
      <c r="I21" s="76">
        <f t="shared" ref="I21:I107" si="3">C21+D21-E21+F21-G21</f>
        <v>574724</v>
      </c>
      <c r="J21" s="206">
        <v>284563.08999999997</v>
      </c>
      <c r="K21" s="122">
        <f>I21-J21</f>
        <v>290160.91000000003</v>
      </c>
      <c r="L21" s="132">
        <f t="shared" ref="L21:L32" si="4">J21/$J$118</f>
        <v>8.8618695805565917E-2</v>
      </c>
      <c r="N21" s="149"/>
    </row>
    <row r="22" spans="1:14">
      <c r="A22" s="53" t="s">
        <v>34</v>
      </c>
      <c r="B22" s="54" t="s">
        <v>35</v>
      </c>
      <c r="C22" s="76">
        <v>4500</v>
      </c>
      <c r="D22" s="76"/>
      <c r="E22" s="76"/>
      <c r="F22" s="76"/>
      <c r="G22" s="76"/>
      <c r="H22" s="76"/>
      <c r="I22" s="76">
        <f t="shared" si="3"/>
        <v>4500</v>
      </c>
      <c r="J22" s="206">
        <v>2625</v>
      </c>
      <c r="K22" s="122">
        <f t="shared" ref="K22:K51" si="5">I22-J22</f>
        <v>1875</v>
      </c>
      <c r="L22" s="132">
        <f t="shared" si="4"/>
        <v>8.1747803796202302E-4</v>
      </c>
      <c r="N22" s="149"/>
    </row>
    <row r="23" spans="1:14">
      <c r="A23" s="53" t="s">
        <v>15</v>
      </c>
      <c r="B23" s="54" t="s">
        <v>43</v>
      </c>
      <c r="C23" s="76">
        <v>62500</v>
      </c>
      <c r="D23" s="76">
        <v>36000</v>
      </c>
      <c r="E23" s="76"/>
      <c r="F23" s="76"/>
      <c r="G23" s="76"/>
      <c r="H23" s="76"/>
      <c r="I23" s="76">
        <f t="shared" si="3"/>
        <v>98500</v>
      </c>
      <c r="J23" s="206">
        <v>41116.67</v>
      </c>
      <c r="K23" s="122">
        <f t="shared" si="5"/>
        <v>57383.33</v>
      </c>
      <c r="L23" s="132">
        <f t="shared" si="4"/>
        <v>1.280456179776456E-2</v>
      </c>
      <c r="N23" s="149"/>
    </row>
    <row r="24" spans="1:14">
      <c r="A24" s="53" t="s">
        <v>135</v>
      </c>
      <c r="B24" s="54" t="s">
        <v>136</v>
      </c>
      <c r="C24" s="76">
        <v>357550</v>
      </c>
      <c r="D24" s="76"/>
      <c r="E24" s="76">
        <v>357550</v>
      </c>
      <c r="F24" s="76"/>
      <c r="G24" s="76"/>
      <c r="H24" s="76"/>
      <c r="I24" s="76">
        <f t="shared" si="3"/>
        <v>0</v>
      </c>
      <c r="J24" s="206">
        <v>0</v>
      </c>
      <c r="K24" s="122">
        <f t="shared" si="5"/>
        <v>0</v>
      </c>
      <c r="L24" s="132">
        <f t="shared" si="4"/>
        <v>0</v>
      </c>
      <c r="N24" s="149"/>
    </row>
    <row r="25" spans="1:14">
      <c r="A25" s="53" t="s">
        <v>137</v>
      </c>
      <c r="B25" s="54" t="s">
        <v>138</v>
      </c>
      <c r="C25" s="76">
        <v>5750</v>
      </c>
      <c r="D25" s="76"/>
      <c r="E25" s="76"/>
      <c r="F25" s="76"/>
      <c r="G25" s="76"/>
      <c r="H25" s="76"/>
      <c r="I25" s="76">
        <f t="shared" si="3"/>
        <v>5750</v>
      </c>
      <c r="J25" s="206">
        <v>0</v>
      </c>
      <c r="K25" s="122">
        <f t="shared" si="5"/>
        <v>5750</v>
      </c>
      <c r="L25" s="132">
        <f t="shared" si="4"/>
        <v>0</v>
      </c>
      <c r="N25" s="149"/>
    </row>
    <row r="26" spans="1:14">
      <c r="A26" s="53" t="s">
        <v>100</v>
      </c>
      <c r="B26" s="54" t="s">
        <v>101</v>
      </c>
      <c r="C26" s="76">
        <v>15400</v>
      </c>
      <c r="D26" s="76"/>
      <c r="E26" s="76"/>
      <c r="F26" s="76"/>
      <c r="G26" s="76"/>
      <c r="H26" s="76"/>
      <c r="I26" s="76">
        <f>C26+D26-E26+F26-G26</f>
        <v>15400</v>
      </c>
      <c r="J26" s="206">
        <v>0</v>
      </c>
      <c r="K26" s="122">
        <f t="shared" si="5"/>
        <v>15400</v>
      </c>
      <c r="L26" s="132">
        <f t="shared" si="4"/>
        <v>0</v>
      </c>
      <c r="N26" s="149"/>
    </row>
    <row r="27" spans="1:14">
      <c r="A27" s="53" t="s">
        <v>21</v>
      </c>
      <c r="B27" s="54" t="s">
        <v>22</v>
      </c>
      <c r="C27" s="76">
        <v>37627.240000000005</v>
      </c>
      <c r="D27" s="76"/>
      <c r="E27" s="76"/>
      <c r="F27" s="76"/>
      <c r="G27" s="76"/>
      <c r="H27" s="76"/>
      <c r="I27" s="76">
        <f t="shared" si="3"/>
        <v>37627.240000000005</v>
      </c>
      <c r="J27" s="206">
        <v>13559.580000000002</v>
      </c>
      <c r="K27" s="122">
        <f t="shared" si="5"/>
        <v>24067.660000000003</v>
      </c>
      <c r="L27" s="132">
        <f t="shared" si="4"/>
        <v>4.2227271824720339E-3</v>
      </c>
      <c r="N27" s="149"/>
    </row>
    <row r="28" spans="1:14">
      <c r="A28" s="53" t="s">
        <v>16</v>
      </c>
      <c r="B28" s="54" t="s">
        <v>125</v>
      </c>
      <c r="C28" s="76">
        <v>111250.887308</v>
      </c>
      <c r="D28" s="76"/>
      <c r="E28" s="76"/>
      <c r="F28" s="76"/>
      <c r="G28" s="76"/>
      <c r="H28" s="76"/>
      <c r="I28" s="76">
        <f t="shared" si="3"/>
        <v>111250.887308</v>
      </c>
      <c r="J28" s="206">
        <v>27786.76</v>
      </c>
      <c r="K28" s="122">
        <f t="shared" si="5"/>
        <v>83464.12730800001</v>
      </c>
      <c r="L28" s="132">
        <f t="shared" si="4"/>
        <v>8.6533584937606173E-3</v>
      </c>
      <c r="N28" s="149"/>
    </row>
    <row r="29" spans="1:14">
      <c r="A29" s="53" t="s">
        <v>17</v>
      </c>
      <c r="B29" s="54" t="s">
        <v>126</v>
      </c>
      <c r="C29" s="76">
        <v>10426.5124</v>
      </c>
      <c r="D29" s="76"/>
      <c r="E29" s="76"/>
      <c r="F29" s="76"/>
      <c r="G29" s="76"/>
      <c r="H29" s="76"/>
      <c r="I29" s="76">
        <f t="shared" si="3"/>
        <v>10426.5124</v>
      </c>
      <c r="J29" s="206">
        <v>2604.1999999999998</v>
      </c>
      <c r="K29" s="122">
        <f t="shared" si="5"/>
        <v>7822.3123999999998</v>
      </c>
      <c r="L29" s="132">
        <f t="shared" si="4"/>
        <v>8.1100049769931436E-4</v>
      </c>
      <c r="N29" s="149"/>
    </row>
    <row r="30" spans="1:14">
      <c r="A30" s="53" t="s">
        <v>18</v>
      </c>
      <c r="B30" s="55" t="s">
        <v>82</v>
      </c>
      <c r="C30" s="76">
        <v>78272.833333333328</v>
      </c>
      <c r="D30" s="76"/>
      <c r="E30" s="76"/>
      <c r="F30" s="76"/>
      <c r="G30" s="76"/>
      <c r="H30" s="76"/>
      <c r="I30" s="76">
        <f t="shared" si="3"/>
        <v>78272.833333333328</v>
      </c>
      <c r="J30" s="206">
        <v>0</v>
      </c>
      <c r="K30" s="122">
        <f t="shared" si="5"/>
        <v>78272.833333333328</v>
      </c>
      <c r="L30" s="132">
        <f t="shared" si="4"/>
        <v>0</v>
      </c>
      <c r="N30" s="149"/>
    </row>
    <row r="31" spans="1:14">
      <c r="A31" s="53" t="s">
        <v>19</v>
      </c>
      <c r="B31" s="54" t="s">
        <v>85</v>
      </c>
      <c r="C31" s="76">
        <v>78272.833333333328</v>
      </c>
      <c r="D31" s="76"/>
      <c r="E31" s="76"/>
      <c r="F31" s="76"/>
      <c r="G31" s="76"/>
      <c r="H31" s="76"/>
      <c r="I31" s="76">
        <f t="shared" si="3"/>
        <v>78272.833333333328</v>
      </c>
      <c r="J31" s="206">
        <v>41431.490000000005</v>
      </c>
      <c r="K31" s="122">
        <f t="shared" si="5"/>
        <v>36841.343333333323</v>
      </c>
      <c r="L31" s="132">
        <f t="shared" si="4"/>
        <v>1.2902603106683116E-2</v>
      </c>
      <c r="N31" s="149"/>
    </row>
    <row r="32" spans="1:14">
      <c r="A32" s="53" t="s">
        <v>20</v>
      </c>
      <c r="B32" s="54" t="s">
        <v>83</v>
      </c>
      <c r="C32" s="76">
        <v>4800</v>
      </c>
      <c r="D32" s="76"/>
      <c r="E32" s="76"/>
      <c r="F32" s="76"/>
      <c r="G32" s="76"/>
      <c r="H32" s="76"/>
      <c r="I32" s="76">
        <f t="shared" si="3"/>
        <v>4800</v>
      </c>
      <c r="J32" s="206">
        <v>0</v>
      </c>
      <c r="K32" s="122">
        <f t="shared" si="5"/>
        <v>4800</v>
      </c>
      <c r="L32" s="132">
        <f t="shared" si="4"/>
        <v>0</v>
      </c>
      <c r="N32" s="149"/>
    </row>
    <row r="33" spans="1:14">
      <c r="A33" s="59">
        <v>1</v>
      </c>
      <c r="B33" s="59" t="s">
        <v>10</v>
      </c>
      <c r="C33" s="76"/>
      <c r="D33" s="76"/>
      <c r="E33" s="76"/>
      <c r="F33" s="76"/>
      <c r="G33" s="76"/>
      <c r="H33" s="76"/>
      <c r="I33" s="76"/>
      <c r="J33" s="212"/>
      <c r="K33" s="122">
        <f t="shared" si="5"/>
        <v>0</v>
      </c>
      <c r="L33" s="132"/>
      <c r="N33" s="149"/>
    </row>
    <row r="34" spans="1:14">
      <c r="A34" s="60">
        <v>111</v>
      </c>
      <c r="B34" s="54" t="s">
        <v>44</v>
      </c>
      <c r="C34" s="76">
        <v>13125</v>
      </c>
      <c r="D34" s="76"/>
      <c r="E34" s="76"/>
      <c r="F34" s="76"/>
      <c r="G34" s="76"/>
      <c r="H34" s="76"/>
      <c r="I34" s="76">
        <f t="shared" si="3"/>
        <v>13125</v>
      </c>
      <c r="J34" s="206">
        <v>4926.9000000000005</v>
      </c>
      <c r="K34" s="122">
        <f t="shared" si="5"/>
        <v>8198.0999999999985</v>
      </c>
      <c r="L34" s="132">
        <f t="shared" ref="L34:L51" si="6">J34/$J$118</f>
        <v>1.5343362077086063E-3</v>
      </c>
      <c r="N34" s="149"/>
    </row>
    <row r="35" spans="1:14">
      <c r="A35" s="60">
        <v>113</v>
      </c>
      <c r="B35" s="54" t="s">
        <v>53</v>
      </c>
      <c r="C35" s="76">
        <v>24780</v>
      </c>
      <c r="D35" s="76"/>
      <c r="E35" s="76"/>
      <c r="F35" s="76"/>
      <c r="G35" s="76"/>
      <c r="H35" s="76"/>
      <c r="I35" s="76">
        <f t="shared" si="3"/>
        <v>24780</v>
      </c>
      <c r="J35" s="206">
        <v>14438</v>
      </c>
      <c r="K35" s="122">
        <f t="shared" si="5"/>
        <v>10342</v>
      </c>
      <c r="L35" s="132">
        <f t="shared" si="6"/>
        <v>4.4962849188935955E-3</v>
      </c>
      <c r="N35" s="149"/>
    </row>
    <row r="36" spans="1:14">
      <c r="A36" s="60">
        <v>114</v>
      </c>
      <c r="B36" s="54" t="s">
        <v>124</v>
      </c>
      <c r="C36" s="76">
        <v>5000</v>
      </c>
      <c r="D36" s="76"/>
      <c r="E36" s="76"/>
      <c r="F36" s="76"/>
      <c r="G36" s="76"/>
      <c r="H36" s="76"/>
      <c r="I36" s="76">
        <f t="shared" si="3"/>
        <v>5000</v>
      </c>
      <c r="J36" s="206">
        <v>40</v>
      </c>
      <c r="K36" s="122">
        <f t="shared" si="5"/>
        <v>4960</v>
      </c>
      <c r="L36" s="132">
        <f t="shared" si="6"/>
        <v>1.2456808197516541E-5</v>
      </c>
      <c r="N36" s="149"/>
    </row>
    <row r="37" spans="1:14">
      <c r="A37" s="60">
        <v>121</v>
      </c>
      <c r="B37" s="54" t="s">
        <v>55</v>
      </c>
      <c r="C37" s="76">
        <v>20000</v>
      </c>
      <c r="D37" s="76">
        <v>30000</v>
      </c>
      <c r="E37" s="76"/>
      <c r="F37" s="76"/>
      <c r="G37" s="76"/>
      <c r="H37" s="76"/>
      <c r="I37" s="76">
        <f t="shared" si="3"/>
        <v>50000</v>
      </c>
      <c r="J37" s="206">
        <v>23014</v>
      </c>
      <c r="K37" s="122">
        <f t="shared" si="5"/>
        <v>26986</v>
      </c>
      <c r="L37" s="132">
        <f t="shared" si="6"/>
        <v>7.1670245964411414E-3</v>
      </c>
      <c r="N37" s="149"/>
    </row>
    <row r="38" spans="1:14">
      <c r="A38" s="60">
        <v>122</v>
      </c>
      <c r="B38" s="54" t="s">
        <v>86</v>
      </c>
      <c r="C38" s="76">
        <v>17950</v>
      </c>
      <c r="D38" s="76">
        <v>10000</v>
      </c>
      <c r="E38" s="76"/>
      <c r="F38" s="76"/>
      <c r="G38" s="76"/>
      <c r="H38" s="76"/>
      <c r="I38" s="76">
        <f t="shared" si="3"/>
        <v>27950</v>
      </c>
      <c r="J38" s="206">
        <v>17239</v>
      </c>
      <c r="K38" s="122">
        <f t="shared" si="5"/>
        <v>10711</v>
      </c>
      <c r="L38" s="132">
        <f t="shared" si="6"/>
        <v>5.368572912924691E-3</v>
      </c>
      <c r="M38" s="159"/>
      <c r="N38" s="149"/>
    </row>
    <row r="39" spans="1:14">
      <c r="A39" s="60">
        <v>131</v>
      </c>
      <c r="B39" s="54" t="s">
        <v>56</v>
      </c>
      <c r="C39" s="76">
        <v>1102000</v>
      </c>
      <c r="D39" s="76">
        <v>375000</v>
      </c>
      <c r="E39" s="76"/>
      <c r="F39" s="76">
        <v>365000</v>
      </c>
      <c r="G39" s="76"/>
      <c r="H39" s="76"/>
      <c r="I39" s="76">
        <f t="shared" si="3"/>
        <v>1842000</v>
      </c>
      <c r="J39" s="206">
        <v>1654284.3900000001</v>
      </c>
      <c r="K39" s="122">
        <f t="shared" si="5"/>
        <v>187715.60999999987</v>
      </c>
      <c r="L39" s="132">
        <f t="shared" si="6"/>
        <v>0.51517758375939127</v>
      </c>
      <c r="N39" s="149"/>
    </row>
    <row r="40" spans="1:14">
      <c r="A40" s="60">
        <v>133</v>
      </c>
      <c r="B40" s="54" t="s">
        <v>57</v>
      </c>
      <c r="C40" s="76">
        <v>4546.67</v>
      </c>
      <c r="D40" s="76"/>
      <c r="E40" s="76"/>
      <c r="F40" s="76"/>
      <c r="G40" s="76"/>
      <c r="H40" s="76"/>
      <c r="I40" s="76">
        <f t="shared" si="3"/>
        <v>4546.67</v>
      </c>
      <c r="J40" s="206">
        <v>0</v>
      </c>
      <c r="K40" s="122">
        <f t="shared" si="5"/>
        <v>4546.67</v>
      </c>
      <c r="L40" s="132">
        <f t="shared" si="6"/>
        <v>0</v>
      </c>
      <c r="N40" s="149"/>
    </row>
    <row r="41" spans="1:14">
      <c r="A41" s="60">
        <v>134</v>
      </c>
      <c r="B41" s="54" t="s">
        <v>87</v>
      </c>
      <c r="C41" s="76">
        <v>0</v>
      </c>
      <c r="D41" s="76"/>
      <c r="E41" s="76"/>
      <c r="F41" s="76"/>
      <c r="G41" s="76"/>
      <c r="H41" s="76"/>
      <c r="I41" s="76">
        <f t="shared" si="3"/>
        <v>0</v>
      </c>
      <c r="J41" s="206">
        <v>0</v>
      </c>
      <c r="K41" s="122">
        <f t="shared" si="5"/>
        <v>0</v>
      </c>
      <c r="L41" s="132">
        <f t="shared" si="6"/>
        <v>0</v>
      </c>
      <c r="N41" s="149"/>
    </row>
    <row r="42" spans="1:14">
      <c r="A42" s="60">
        <v>135</v>
      </c>
      <c r="B42" s="54" t="s">
        <v>102</v>
      </c>
      <c r="C42" s="76">
        <v>124000</v>
      </c>
      <c r="D42" s="76"/>
      <c r="E42" s="76"/>
      <c r="F42" s="76">
        <v>70000</v>
      </c>
      <c r="G42" s="76"/>
      <c r="H42" s="76"/>
      <c r="I42" s="76">
        <f>C42+D42-E42+F42-G42</f>
        <v>194000</v>
      </c>
      <c r="J42" s="206">
        <v>135503.33000000002</v>
      </c>
      <c r="K42" s="122">
        <f t="shared" si="5"/>
        <v>58496.669999999984</v>
      </c>
      <c r="L42" s="132">
        <f t="shared" si="6"/>
        <v>4.2198474798369731E-2</v>
      </c>
      <c r="N42" s="149"/>
    </row>
    <row r="43" spans="1:14">
      <c r="A43" s="60">
        <v>141</v>
      </c>
      <c r="B43" s="54" t="s">
        <v>76</v>
      </c>
      <c r="C43" s="76">
        <v>374045.69</v>
      </c>
      <c r="D43" s="76">
        <v>77000</v>
      </c>
      <c r="E43" s="76"/>
      <c r="F43" s="76">
        <v>223000</v>
      </c>
      <c r="G43" s="76"/>
      <c r="H43" s="76"/>
      <c r="I43" s="76">
        <f t="shared" si="3"/>
        <v>674045.69</v>
      </c>
      <c r="J43" s="206">
        <v>446618.93000000005</v>
      </c>
      <c r="K43" s="122">
        <f t="shared" si="5"/>
        <v>227426.75999999989</v>
      </c>
      <c r="L43" s="132">
        <f t="shared" si="6"/>
        <v>0.13908615870975166</v>
      </c>
      <c r="N43" s="149"/>
    </row>
    <row r="44" spans="1:14">
      <c r="A44" s="60">
        <v>142</v>
      </c>
      <c r="B44" s="54" t="s">
        <v>23</v>
      </c>
      <c r="C44" s="76">
        <v>32600</v>
      </c>
      <c r="D44" s="76"/>
      <c r="E44" s="76"/>
      <c r="F44" s="76"/>
      <c r="G44" s="76"/>
      <c r="H44" s="76"/>
      <c r="I44" s="76">
        <f t="shared" si="3"/>
        <v>32600</v>
      </c>
      <c r="J44" s="206">
        <v>0</v>
      </c>
      <c r="K44" s="122">
        <f t="shared" si="5"/>
        <v>32600</v>
      </c>
      <c r="L44" s="132">
        <f t="shared" si="6"/>
        <v>0</v>
      </c>
      <c r="N44" s="149"/>
    </row>
    <row r="45" spans="1:14">
      <c r="A45" s="60">
        <v>143</v>
      </c>
      <c r="B45" s="54" t="s">
        <v>127</v>
      </c>
      <c r="C45" s="76">
        <v>37071.31</v>
      </c>
      <c r="D45" s="76"/>
      <c r="E45" s="76"/>
      <c r="F45" s="76"/>
      <c r="G45" s="76"/>
      <c r="H45" s="76"/>
      <c r="I45" s="76">
        <f t="shared" si="3"/>
        <v>37071.31</v>
      </c>
      <c r="J45" s="206"/>
      <c r="K45" s="122">
        <f t="shared" si="5"/>
        <v>37071.31</v>
      </c>
      <c r="L45" s="132">
        <f t="shared" si="6"/>
        <v>0</v>
      </c>
      <c r="N45" s="149"/>
    </row>
    <row r="46" spans="1:14">
      <c r="A46" s="60">
        <v>151</v>
      </c>
      <c r="B46" s="54" t="s">
        <v>139</v>
      </c>
      <c r="C46" s="76">
        <v>70560</v>
      </c>
      <c r="D46" s="76"/>
      <c r="E46" s="76"/>
      <c r="F46" s="76"/>
      <c r="G46" s="76"/>
      <c r="H46" s="76"/>
      <c r="I46" s="76">
        <f t="shared" si="3"/>
        <v>70560</v>
      </c>
      <c r="J46" s="206">
        <v>40897.5</v>
      </c>
      <c r="K46" s="122">
        <f t="shared" si="5"/>
        <v>29662.5</v>
      </c>
      <c r="L46" s="132">
        <f t="shared" si="6"/>
        <v>1.2736307831448319E-2</v>
      </c>
      <c r="N46" s="149"/>
    </row>
    <row r="47" spans="1:14">
      <c r="A47" s="60">
        <v>155</v>
      </c>
      <c r="B47" s="54" t="s">
        <v>36</v>
      </c>
      <c r="C47" s="76">
        <v>0</v>
      </c>
      <c r="D47" s="76"/>
      <c r="E47" s="76"/>
      <c r="F47" s="76"/>
      <c r="G47" s="76"/>
      <c r="H47" s="76"/>
      <c r="I47" s="76">
        <f t="shared" si="3"/>
        <v>0</v>
      </c>
      <c r="J47" s="206">
        <v>0</v>
      </c>
      <c r="K47" s="122">
        <f t="shared" si="5"/>
        <v>0</v>
      </c>
      <c r="L47" s="132">
        <f t="shared" si="6"/>
        <v>0</v>
      </c>
      <c r="N47" s="149"/>
    </row>
    <row r="48" spans="1:14">
      <c r="A48" s="60">
        <v>158</v>
      </c>
      <c r="B48" s="54" t="s">
        <v>103</v>
      </c>
      <c r="C48" s="76">
        <v>4000</v>
      </c>
      <c r="D48" s="76">
        <v>2550</v>
      </c>
      <c r="E48" s="76"/>
      <c r="F48" s="76"/>
      <c r="G48" s="76"/>
      <c r="H48" s="76"/>
      <c r="I48" s="76">
        <f>C48+D48-E48+F48-G48</f>
        <v>6550</v>
      </c>
      <c r="J48" s="206">
        <v>5250</v>
      </c>
      <c r="K48" s="122">
        <f t="shared" si="5"/>
        <v>1300</v>
      </c>
      <c r="L48" s="132">
        <f t="shared" si="6"/>
        <v>1.634956075924046E-3</v>
      </c>
      <c r="N48" s="149"/>
    </row>
    <row r="49" spans="1:14">
      <c r="A49" s="60">
        <v>162</v>
      </c>
      <c r="B49" s="54" t="s">
        <v>58</v>
      </c>
      <c r="C49" s="76">
        <v>1350</v>
      </c>
      <c r="D49" s="76"/>
      <c r="E49" s="76"/>
      <c r="F49" s="76"/>
      <c r="G49" s="76"/>
      <c r="H49" s="76"/>
      <c r="I49" s="76">
        <f t="shared" si="3"/>
        <v>1350</v>
      </c>
      <c r="J49" s="206">
        <v>0</v>
      </c>
      <c r="K49" s="122">
        <f t="shared" si="5"/>
        <v>1350</v>
      </c>
      <c r="L49" s="132">
        <f t="shared" si="6"/>
        <v>0</v>
      </c>
      <c r="N49" s="149"/>
    </row>
    <row r="50" spans="1:14">
      <c r="A50" s="60">
        <v>164</v>
      </c>
      <c r="B50" s="54" t="s">
        <v>45</v>
      </c>
      <c r="C50" s="76">
        <v>12500</v>
      </c>
      <c r="D50" s="76"/>
      <c r="E50" s="76"/>
      <c r="F50" s="76"/>
      <c r="G50" s="76"/>
      <c r="H50" s="76"/>
      <c r="I50" s="76">
        <f t="shared" si="3"/>
        <v>12500</v>
      </c>
      <c r="J50" s="206">
        <v>5250</v>
      </c>
      <c r="K50" s="122">
        <f t="shared" si="5"/>
        <v>7250</v>
      </c>
      <c r="L50" s="132">
        <f t="shared" si="6"/>
        <v>1.634956075924046E-3</v>
      </c>
      <c r="N50" s="149"/>
    </row>
    <row r="51" spans="1:14">
      <c r="A51" s="60">
        <v>165</v>
      </c>
      <c r="B51" s="54" t="s">
        <v>104</v>
      </c>
      <c r="C51" s="76">
        <v>6900</v>
      </c>
      <c r="D51" s="76"/>
      <c r="E51" s="76"/>
      <c r="F51" s="76"/>
      <c r="G51" s="76"/>
      <c r="H51" s="76"/>
      <c r="I51" s="76">
        <f>C51+D51-E51+F51-G51</f>
        <v>6900</v>
      </c>
      <c r="J51" s="206">
        <v>948.60000000000014</v>
      </c>
      <c r="K51" s="122">
        <f t="shared" si="5"/>
        <v>5951.4</v>
      </c>
      <c r="L51" s="132">
        <f t="shared" si="6"/>
        <v>2.9541320640410481E-4</v>
      </c>
      <c r="N51" s="149"/>
    </row>
    <row r="52" spans="1:14">
      <c r="A52" s="60"/>
      <c r="B52" s="54"/>
      <c r="C52" s="76"/>
      <c r="D52" s="76"/>
      <c r="E52" s="76"/>
      <c r="F52" s="76"/>
      <c r="G52" s="76"/>
      <c r="H52" s="76"/>
      <c r="I52" s="76"/>
      <c r="J52" s="206"/>
      <c r="K52" s="122"/>
      <c r="L52" s="132"/>
      <c r="N52" s="149"/>
    </row>
    <row r="53" spans="1:14">
      <c r="A53" s="60"/>
      <c r="B53" s="54"/>
      <c r="C53" s="76"/>
      <c r="D53" s="76"/>
      <c r="E53" s="76"/>
      <c r="F53" s="76"/>
      <c r="G53" s="76"/>
      <c r="H53" s="76"/>
      <c r="I53" s="76"/>
      <c r="J53" s="206"/>
      <c r="K53" s="122"/>
      <c r="L53" s="132"/>
      <c r="N53" s="149"/>
    </row>
    <row r="54" spans="1:14">
      <c r="A54" s="60"/>
      <c r="B54" s="54"/>
      <c r="C54" s="76"/>
      <c r="D54" s="76"/>
      <c r="E54" s="76"/>
      <c r="F54" s="76"/>
      <c r="G54" s="76"/>
      <c r="H54" s="76"/>
      <c r="I54" s="76"/>
      <c r="J54" s="206"/>
      <c r="K54" s="122"/>
      <c r="L54" s="132"/>
      <c r="N54" s="149"/>
    </row>
    <row r="55" spans="1:14">
      <c r="A55" s="60"/>
      <c r="B55" s="54"/>
      <c r="C55" s="76"/>
      <c r="D55" s="76"/>
      <c r="E55" s="76"/>
      <c r="F55" s="76"/>
      <c r="G55" s="76"/>
      <c r="H55" s="76"/>
      <c r="I55" s="76"/>
      <c r="J55" s="206"/>
      <c r="K55" s="122"/>
      <c r="L55" s="132"/>
      <c r="N55" s="149"/>
    </row>
    <row r="56" spans="1:14">
      <c r="A56" s="60"/>
      <c r="B56" s="54"/>
      <c r="C56" s="76"/>
      <c r="D56" s="76"/>
      <c r="E56" s="76"/>
      <c r="F56" s="76"/>
      <c r="G56" s="76"/>
      <c r="H56" s="76"/>
      <c r="I56" s="76"/>
      <c r="J56" s="206"/>
      <c r="K56" s="122"/>
      <c r="L56" s="132"/>
      <c r="N56" s="149"/>
    </row>
    <row r="57" spans="1:14">
      <c r="A57" s="60"/>
      <c r="B57" s="54"/>
      <c r="C57" s="76"/>
      <c r="D57" s="76"/>
      <c r="E57" s="76"/>
      <c r="F57" s="76"/>
      <c r="G57" s="76"/>
      <c r="H57" s="76"/>
      <c r="I57" s="76"/>
      <c r="J57" s="206"/>
      <c r="K57" s="122"/>
      <c r="L57" s="132"/>
      <c r="N57" s="149"/>
    </row>
    <row r="58" spans="1:14">
      <c r="A58" s="60"/>
      <c r="B58" s="54"/>
      <c r="C58" s="76"/>
      <c r="D58" s="76"/>
      <c r="E58" s="76"/>
      <c r="F58" s="76"/>
      <c r="G58" s="76"/>
      <c r="H58" s="76"/>
      <c r="I58" s="76"/>
      <c r="J58" s="206"/>
      <c r="K58" s="122"/>
      <c r="L58" s="132"/>
      <c r="N58" s="149"/>
    </row>
    <row r="59" spans="1:14">
      <c r="A59" s="60"/>
      <c r="B59" s="54"/>
      <c r="C59" s="76"/>
      <c r="D59" s="76"/>
      <c r="E59" s="76"/>
      <c r="F59" s="76"/>
      <c r="G59" s="76"/>
      <c r="H59" s="76"/>
      <c r="I59" s="76"/>
      <c r="J59" s="206"/>
      <c r="K59" s="122"/>
      <c r="L59" s="132"/>
      <c r="N59" s="149"/>
    </row>
    <row r="60" spans="1:14">
      <c r="A60" s="60">
        <v>168</v>
      </c>
      <c r="B60" s="54" t="s">
        <v>59</v>
      </c>
      <c r="C60" s="76">
        <v>5500</v>
      </c>
      <c r="D60" s="76"/>
      <c r="E60" s="76"/>
      <c r="F60" s="76"/>
      <c r="G60" s="76"/>
      <c r="H60" s="76"/>
      <c r="I60" s="76">
        <f t="shared" si="3"/>
        <v>5500</v>
      </c>
      <c r="J60" s="206">
        <v>1240</v>
      </c>
      <c r="K60" s="122">
        <f t="shared" ref="K60:K107" si="7">I60-J60</f>
        <v>4260</v>
      </c>
      <c r="L60" s="132">
        <f t="shared" ref="L60:L101" si="8">J60/$J$118</f>
        <v>3.8616105412301276E-4</v>
      </c>
      <c r="N60" s="149"/>
    </row>
    <row r="61" spans="1:14">
      <c r="A61" s="60">
        <v>174</v>
      </c>
      <c r="B61" s="54" t="s">
        <v>46</v>
      </c>
      <c r="C61" s="76">
        <v>5000</v>
      </c>
      <c r="D61" s="76"/>
      <c r="E61" s="76"/>
      <c r="F61" s="76"/>
      <c r="G61" s="76"/>
      <c r="H61" s="76"/>
      <c r="I61" s="76">
        <f t="shared" si="3"/>
        <v>5000</v>
      </c>
      <c r="J61" s="206">
        <v>140</v>
      </c>
      <c r="K61" s="122">
        <f t="shared" si="7"/>
        <v>4860</v>
      </c>
      <c r="L61" s="132">
        <f t="shared" si="8"/>
        <v>4.3598828691307895E-5</v>
      </c>
      <c r="N61" s="149"/>
    </row>
    <row r="62" spans="1:14">
      <c r="A62" s="60">
        <v>182</v>
      </c>
      <c r="B62" s="54" t="s">
        <v>61</v>
      </c>
      <c r="C62" s="76">
        <v>0</v>
      </c>
      <c r="D62" s="76"/>
      <c r="E62" s="76"/>
      <c r="F62" s="76"/>
      <c r="G62" s="76"/>
      <c r="H62" s="76"/>
      <c r="I62" s="76">
        <f t="shared" si="3"/>
        <v>0</v>
      </c>
      <c r="J62" s="206">
        <v>0</v>
      </c>
      <c r="K62" s="122">
        <f t="shared" si="7"/>
        <v>0</v>
      </c>
      <c r="L62" s="132">
        <f t="shared" si="8"/>
        <v>0</v>
      </c>
      <c r="N62" s="149"/>
    </row>
    <row r="63" spans="1:14">
      <c r="A63" s="60">
        <v>183</v>
      </c>
      <c r="B63" s="54" t="s">
        <v>105</v>
      </c>
      <c r="C63" s="76">
        <v>160000</v>
      </c>
      <c r="D63" s="76"/>
      <c r="E63" s="76"/>
      <c r="F63" s="76"/>
      <c r="G63" s="76">
        <v>75000</v>
      </c>
      <c r="H63" s="76"/>
      <c r="I63" s="76">
        <f>C63+D63-E63+F63-G63</f>
        <v>85000</v>
      </c>
      <c r="J63" s="206">
        <v>29617</v>
      </c>
      <c r="K63" s="122">
        <f t="shared" si="7"/>
        <v>55383</v>
      </c>
      <c r="L63" s="132">
        <f t="shared" si="8"/>
        <v>9.2233322096461848E-3</v>
      </c>
      <c r="N63" s="149"/>
    </row>
    <row r="64" spans="1:14">
      <c r="A64" s="60">
        <v>184</v>
      </c>
      <c r="B64" s="54" t="s">
        <v>106</v>
      </c>
      <c r="C64" s="76">
        <v>42000</v>
      </c>
      <c r="D64" s="76"/>
      <c r="E64" s="76"/>
      <c r="F64" s="76"/>
      <c r="G64" s="76"/>
      <c r="H64" s="76"/>
      <c r="I64" s="76">
        <f t="shared" si="3"/>
        <v>42000</v>
      </c>
      <c r="J64" s="206">
        <v>20865.47</v>
      </c>
      <c r="K64" s="122">
        <f t="shared" si="7"/>
        <v>21134.53</v>
      </c>
      <c r="L64" s="132">
        <f t="shared" si="8"/>
        <v>6.4979289435258868E-3</v>
      </c>
      <c r="N64" s="149"/>
    </row>
    <row r="65" spans="1:14">
      <c r="A65" s="60">
        <v>185</v>
      </c>
      <c r="B65" s="54" t="s">
        <v>107</v>
      </c>
      <c r="C65" s="76">
        <v>69000</v>
      </c>
      <c r="D65" s="76"/>
      <c r="E65" s="76"/>
      <c r="F65" s="76"/>
      <c r="G65" s="76">
        <v>40000</v>
      </c>
      <c r="H65" s="76"/>
      <c r="I65" s="76">
        <f>C65+D65-E65+F65-G65</f>
        <v>29000</v>
      </c>
      <c r="J65" s="206">
        <v>0</v>
      </c>
      <c r="K65" s="122">
        <f t="shared" si="7"/>
        <v>29000</v>
      </c>
      <c r="L65" s="132">
        <f t="shared" si="8"/>
        <v>0</v>
      </c>
      <c r="N65" s="149"/>
    </row>
    <row r="66" spans="1:14">
      <c r="A66" s="60">
        <v>186</v>
      </c>
      <c r="B66" s="54" t="s">
        <v>47</v>
      </c>
      <c r="C66" s="76">
        <v>2000</v>
      </c>
      <c r="D66" s="76"/>
      <c r="E66" s="76"/>
      <c r="F66" s="76"/>
      <c r="G66" s="76"/>
      <c r="H66" s="76"/>
      <c r="I66" s="76">
        <f t="shared" si="3"/>
        <v>2000</v>
      </c>
      <c r="J66" s="206">
        <v>930</v>
      </c>
      <c r="K66" s="122">
        <f t="shared" si="7"/>
        <v>1070</v>
      </c>
      <c r="L66" s="132">
        <f t="shared" si="8"/>
        <v>2.8962079059225955E-4</v>
      </c>
      <c r="N66" s="149"/>
    </row>
    <row r="67" spans="1:14">
      <c r="A67" s="60">
        <v>187</v>
      </c>
      <c r="B67" s="54" t="s">
        <v>108</v>
      </c>
      <c r="C67" s="76">
        <v>51600</v>
      </c>
      <c r="D67" s="76"/>
      <c r="E67" s="76"/>
      <c r="F67" s="76"/>
      <c r="G67" s="76">
        <v>30000</v>
      </c>
      <c r="H67" s="76"/>
      <c r="I67" s="76">
        <f>C67+D67-E67+F67-G67</f>
        <v>21600</v>
      </c>
      <c r="J67" s="206">
        <v>3200</v>
      </c>
      <c r="K67" s="122">
        <f t="shared" si="7"/>
        <v>18400</v>
      </c>
      <c r="L67" s="132">
        <f t="shared" si="8"/>
        <v>9.9654465580132322E-4</v>
      </c>
      <c r="N67" s="149"/>
    </row>
    <row r="68" spans="1:14">
      <c r="A68" s="60">
        <v>188</v>
      </c>
      <c r="B68" s="54" t="s">
        <v>109</v>
      </c>
      <c r="C68" s="76">
        <v>0</v>
      </c>
      <c r="D68" s="76"/>
      <c r="E68" s="76"/>
      <c r="F68" s="76"/>
      <c r="G68" s="76"/>
      <c r="H68" s="76"/>
      <c r="I68" s="76">
        <f t="shared" si="3"/>
        <v>0</v>
      </c>
      <c r="J68" s="206">
        <v>0</v>
      </c>
      <c r="K68" s="122">
        <f t="shared" si="7"/>
        <v>0</v>
      </c>
      <c r="L68" s="132">
        <f t="shared" si="8"/>
        <v>0</v>
      </c>
      <c r="N68" s="149"/>
    </row>
    <row r="69" spans="1:14">
      <c r="A69" s="60">
        <v>189</v>
      </c>
      <c r="B69" s="54" t="s">
        <v>110</v>
      </c>
      <c r="C69" s="76">
        <v>0</v>
      </c>
      <c r="D69" s="76">
        <v>275000</v>
      </c>
      <c r="E69" s="76"/>
      <c r="F69" s="76"/>
      <c r="G69" s="76">
        <v>10000</v>
      </c>
      <c r="H69" s="76"/>
      <c r="I69" s="76">
        <f>C69+D69-E69+F69-G69</f>
        <v>265000</v>
      </c>
      <c r="J69" s="206">
        <v>80829.02</v>
      </c>
      <c r="K69" s="122">
        <f t="shared" si="7"/>
        <v>184170.97999999998</v>
      </c>
      <c r="L69" s="132">
        <f t="shared" si="8"/>
        <v>2.5171789973330711E-2</v>
      </c>
      <c r="N69" s="149"/>
    </row>
    <row r="70" spans="1:14">
      <c r="A70" s="60">
        <v>191</v>
      </c>
      <c r="B70" s="54" t="s">
        <v>111</v>
      </c>
      <c r="C70" s="76">
        <v>9000</v>
      </c>
      <c r="D70" s="76">
        <v>4000</v>
      </c>
      <c r="E70" s="76"/>
      <c r="F70" s="205"/>
      <c r="G70" s="76"/>
      <c r="H70" s="76"/>
      <c r="I70" s="76">
        <f t="shared" si="3"/>
        <v>13000</v>
      </c>
      <c r="J70" s="206">
        <v>8051.49</v>
      </c>
      <c r="K70" s="122">
        <f t="shared" si="7"/>
        <v>4948.51</v>
      </c>
      <c r="L70" s="132">
        <f t="shared" si="8"/>
        <v>2.5073966658555611E-3</v>
      </c>
      <c r="N70" s="149"/>
    </row>
    <row r="71" spans="1:14">
      <c r="A71" s="60">
        <v>194</v>
      </c>
      <c r="B71" s="54" t="s">
        <v>112</v>
      </c>
      <c r="C71" s="76">
        <v>1080</v>
      </c>
      <c r="D71" s="76">
        <v>5000</v>
      </c>
      <c r="E71" s="76"/>
      <c r="F71" s="76"/>
      <c r="G71" s="76"/>
      <c r="H71" s="76"/>
      <c r="I71" s="206">
        <f>C71+D71-E71+F71-G71</f>
        <v>6080</v>
      </c>
      <c r="J71" s="206">
        <v>676.95</v>
      </c>
      <c r="K71" s="122">
        <f t="shared" si="7"/>
        <v>5403.05</v>
      </c>
      <c r="L71" s="132">
        <f t="shared" si="8"/>
        <v>2.1081590773272058E-4</v>
      </c>
      <c r="N71" s="149"/>
    </row>
    <row r="72" spans="1:14">
      <c r="A72" s="60">
        <v>195</v>
      </c>
      <c r="B72" s="54" t="s">
        <v>37</v>
      </c>
      <c r="C72" s="76">
        <v>10000</v>
      </c>
      <c r="D72" s="76"/>
      <c r="E72" s="76"/>
      <c r="F72" s="76"/>
      <c r="G72" s="76"/>
      <c r="H72" s="76"/>
      <c r="I72" s="76">
        <f t="shared" si="3"/>
        <v>10000</v>
      </c>
      <c r="J72" s="206">
        <v>5348.2800000000007</v>
      </c>
      <c r="K72" s="122">
        <f t="shared" si="7"/>
        <v>4651.7199999999993</v>
      </c>
      <c r="L72" s="132">
        <f t="shared" si="8"/>
        <v>1.6655624536653442E-3</v>
      </c>
      <c r="N72" s="149"/>
    </row>
    <row r="73" spans="1:14">
      <c r="A73" s="60">
        <v>196</v>
      </c>
      <c r="B73" s="54" t="s">
        <v>113</v>
      </c>
      <c r="C73" s="76">
        <v>31300</v>
      </c>
      <c r="D73" s="76"/>
      <c r="E73" s="76"/>
      <c r="F73" s="76"/>
      <c r="G73" s="76"/>
      <c r="H73" s="76"/>
      <c r="I73" s="76">
        <f>C73+D73-E73+F73-G73</f>
        <v>31300</v>
      </c>
      <c r="J73" s="206">
        <v>6412.5</v>
      </c>
      <c r="K73" s="122">
        <f t="shared" si="7"/>
        <v>24887.5</v>
      </c>
      <c r="L73" s="132">
        <f t="shared" si="8"/>
        <v>1.9969820641643704E-3</v>
      </c>
      <c r="N73" s="149"/>
    </row>
    <row r="74" spans="1:14">
      <c r="A74" s="60">
        <v>199</v>
      </c>
      <c r="B74" s="54" t="s">
        <v>60</v>
      </c>
      <c r="C74" s="76">
        <v>26043.75</v>
      </c>
      <c r="D74" s="76"/>
      <c r="E74" s="76"/>
      <c r="F74" s="76"/>
      <c r="G74" s="76"/>
      <c r="H74" s="76"/>
      <c r="I74" s="76">
        <f t="shared" si="3"/>
        <v>26043.75</v>
      </c>
      <c r="J74" s="206">
        <v>2029.5</v>
      </c>
      <c r="K74" s="122">
        <f t="shared" si="7"/>
        <v>24014.25</v>
      </c>
      <c r="L74" s="132">
        <f t="shared" si="8"/>
        <v>6.3202730592149545E-4</v>
      </c>
      <c r="N74" s="149"/>
    </row>
    <row r="75" spans="1:14">
      <c r="A75" s="59">
        <v>2</v>
      </c>
      <c r="B75" s="59" t="s">
        <v>11</v>
      </c>
      <c r="C75" s="76"/>
      <c r="D75" s="76"/>
      <c r="E75" s="76"/>
      <c r="F75" s="76"/>
      <c r="G75" s="76"/>
      <c r="H75" s="76"/>
      <c r="I75" s="76"/>
      <c r="J75" s="212"/>
      <c r="K75" s="122">
        <f t="shared" si="7"/>
        <v>0</v>
      </c>
      <c r="L75" s="132">
        <f t="shared" si="8"/>
        <v>0</v>
      </c>
      <c r="N75" s="149"/>
    </row>
    <row r="76" spans="1:14">
      <c r="A76" s="60">
        <v>211</v>
      </c>
      <c r="B76" s="54" t="s">
        <v>24</v>
      </c>
      <c r="C76" s="76">
        <v>66744.479999999996</v>
      </c>
      <c r="D76" s="76"/>
      <c r="E76" s="76"/>
      <c r="F76" s="76"/>
      <c r="G76" s="76"/>
      <c r="H76" s="76"/>
      <c r="I76" s="76">
        <f t="shared" si="3"/>
        <v>66744.479999999996</v>
      </c>
      <c r="J76" s="206">
        <v>42378.6</v>
      </c>
      <c r="K76" s="122">
        <f t="shared" si="7"/>
        <v>24365.879999999997</v>
      </c>
      <c r="L76" s="132">
        <f t="shared" si="8"/>
        <v>1.3197552296981861E-2</v>
      </c>
      <c r="N76" s="149"/>
    </row>
    <row r="77" spans="1:14">
      <c r="A77" s="60">
        <v>219</v>
      </c>
      <c r="B77" s="54" t="s">
        <v>25</v>
      </c>
      <c r="C77" s="76">
        <v>0</v>
      </c>
      <c r="D77" s="76"/>
      <c r="E77" s="76"/>
      <c r="F77" s="76"/>
      <c r="G77" s="76"/>
      <c r="H77" s="76"/>
      <c r="I77" s="76">
        <f t="shared" si="3"/>
        <v>0</v>
      </c>
      <c r="J77" s="206">
        <v>0</v>
      </c>
      <c r="K77" s="122">
        <f t="shared" si="7"/>
        <v>0</v>
      </c>
      <c r="L77" s="132">
        <f t="shared" si="8"/>
        <v>0</v>
      </c>
      <c r="N77" s="149"/>
    </row>
    <row r="78" spans="1:14">
      <c r="A78" s="60">
        <v>232</v>
      </c>
      <c r="B78" s="54" t="s">
        <v>62</v>
      </c>
      <c r="C78" s="76">
        <v>1140</v>
      </c>
      <c r="D78" s="76"/>
      <c r="E78" s="76"/>
      <c r="F78" s="76"/>
      <c r="G78" s="76"/>
      <c r="H78" s="76"/>
      <c r="I78" s="76">
        <f t="shared" si="3"/>
        <v>1140</v>
      </c>
      <c r="J78" s="206">
        <v>400</v>
      </c>
      <c r="K78" s="122">
        <f t="shared" si="7"/>
        <v>740</v>
      </c>
      <c r="L78" s="132">
        <f t="shared" si="8"/>
        <v>1.245680819751654E-4</v>
      </c>
      <c r="N78" s="149"/>
    </row>
    <row r="79" spans="1:14">
      <c r="A79" s="60">
        <v>233</v>
      </c>
      <c r="B79" s="54" t="s">
        <v>75</v>
      </c>
      <c r="C79" s="76">
        <v>58000</v>
      </c>
      <c r="D79" s="76"/>
      <c r="E79" s="76"/>
      <c r="F79" s="76"/>
      <c r="G79" s="76">
        <v>5000</v>
      </c>
      <c r="H79" s="76"/>
      <c r="I79" s="207">
        <f t="shared" si="3"/>
        <v>53000</v>
      </c>
      <c r="J79" s="206">
        <v>3525</v>
      </c>
      <c r="K79" s="122">
        <f t="shared" si="7"/>
        <v>49475</v>
      </c>
      <c r="L79" s="132">
        <f t="shared" si="8"/>
        <v>1.0977562224061452E-3</v>
      </c>
      <c r="N79" s="149"/>
    </row>
    <row r="80" spans="1:14">
      <c r="A80" s="60">
        <v>241</v>
      </c>
      <c r="B80" s="54" t="s">
        <v>63</v>
      </c>
      <c r="C80" s="76">
        <v>3000</v>
      </c>
      <c r="D80" s="76">
        <v>3500</v>
      </c>
      <c r="E80" s="76"/>
      <c r="F80" s="76">
        <v>3250</v>
      </c>
      <c r="G80" s="76"/>
      <c r="H80" s="76"/>
      <c r="I80" s="76">
        <f t="shared" si="3"/>
        <v>9750</v>
      </c>
      <c r="J80" s="206">
        <v>4560.7</v>
      </c>
      <c r="K80" s="122">
        <f t="shared" si="7"/>
        <v>5189.3</v>
      </c>
      <c r="L80" s="132">
        <f t="shared" si="8"/>
        <v>1.420294128660342E-3</v>
      </c>
      <c r="N80" s="149"/>
    </row>
    <row r="81" spans="1:14">
      <c r="A81" s="60">
        <v>243</v>
      </c>
      <c r="B81" s="54" t="s">
        <v>48</v>
      </c>
      <c r="C81" s="76">
        <v>350</v>
      </c>
      <c r="D81" s="76"/>
      <c r="E81" s="76"/>
      <c r="F81" s="76">
        <v>250</v>
      </c>
      <c r="G81" s="76"/>
      <c r="H81" s="76"/>
      <c r="I81" s="206">
        <f t="shared" si="3"/>
        <v>600</v>
      </c>
      <c r="J81" s="206">
        <v>97.2</v>
      </c>
      <c r="K81" s="122">
        <f t="shared" si="7"/>
        <v>502.8</v>
      </c>
      <c r="L81" s="132">
        <f t="shared" si="8"/>
        <v>3.0270043919965195E-5</v>
      </c>
      <c r="N81" s="149"/>
    </row>
    <row r="82" spans="1:14">
      <c r="A82" s="60">
        <v>244</v>
      </c>
      <c r="B82" s="54" t="s">
        <v>49</v>
      </c>
      <c r="C82" s="76">
        <v>1000</v>
      </c>
      <c r="D82" s="76"/>
      <c r="E82" s="76"/>
      <c r="F82" s="76"/>
      <c r="G82" s="76"/>
      <c r="H82" s="76"/>
      <c r="I82" s="206">
        <f t="shared" si="3"/>
        <v>1000</v>
      </c>
      <c r="J82" s="206">
        <v>240</v>
      </c>
      <c r="K82" s="122">
        <f t="shared" si="7"/>
        <v>760</v>
      </c>
      <c r="L82" s="132">
        <f t="shared" si="8"/>
        <v>7.4740849185099239E-5</v>
      </c>
      <c r="N82" s="149"/>
    </row>
    <row r="83" spans="1:14">
      <c r="A83" s="60">
        <v>245</v>
      </c>
      <c r="B83" s="54" t="s">
        <v>50</v>
      </c>
      <c r="C83" s="76">
        <v>1305</v>
      </c>
      <c r="D83" s="76"/>
      <c r="E83" s="76"/>
      <c r="F83" s="76"/>
      <c r="G83" s="76"/>
      <c r="H83" s="76"/>
      <c r="I83" s="76">
        <f t="shared" si="3"/>
        <v>1305</v>
      </c>
      <c r="J83" s="206">
        <v>0</v>
      </c>
      <c r="K83" s="122">
        <f t="shared" si="7"/>
        <v>1305</v>
      </c>
      <c r="L83" s="132">
        <f t="shared" si="8"/>
        <v>0</v>
      </c>
      <c r="N83" s="149"/>
    </row>
    <row r="84" spans="1:14">
      <c r="A84" s="60">
        <v>253</v>
      </c>
      <c r="B84" s="54" t="s">
        <v>41</v>
      </c>
      <c r="C84" s="76">
        <v>2500</v>
      </c>
      <c r="D84" s="76"/>
      <c r="E84" s="76"/>
      <c r="F84" s="76">
        <v>3000</v>
      </c>
      <c r="G84" s="76"/>
      <c r="H84" s="76"/>
      <c r="I84" s="206">
        <f t="shared" si="3"/>
        <v>5500</v>
      </c>
      <c r="J84" s="206">
        <v>25</v>
      </c>
      <c r="K84" s="122">
        <f t="shared" si="7"/>
        <v>5475</v>
      </c>
      <c r="L84" s="132">
        <f t="shared" si="8"/>
        <v>7.7855051234478376E-6</v>
      </c>
      <c r="N84" s="149"/>
    </row>
    <row r="85" spans="1:14">
      <c r="A85" s="60">
        <v>254</v>
      </c>
      <c r="B85" s="54" t="s">
        <v>51</v>
      </c>
      <c r="C85" s="76">
        <v>200</v>
      </c>
      <c r="D85" s="76">
        <v>500</v>
      </c>
      <c r="E85" s="76"/>
      <c r="F85" s="76"/>
      <c r="G85" s="76"/>
      <c r="H85" s="76"/>
      <c r="I85" s="76">
        <f t="shared" si="3"/>
        <v>700</v>
      </c>
      <c r="J85" s="206">
        <v>400</v>
      </c>
      <c r="K85" s="122">
        <f t="shared" si="7"/>
        <v>300</v>
      </c>
      <c r="L85" s="132">
        <f t="shared" si="8"/>
        <v>1.245680819751654E-4</v>
      </c>
      <c r="N85" s="149"/>
    </row>
    <row r="86" spans="1:14">
      <c r="A86" s="60">
        <v>262</v>
      </c>
      <c r="B86" s="54" t="s">
        <v>64</v>
      </c>
      <c r="C86" s="76">
        <v>9770</v>
      </c>
      <c r="D86" s="76"/>
      <c r="E86" s="76"/>
      <c r="F86" s="76"/>
      <c r="G86" s="76"/>
      <c r="H86" s="76"/>
      <c r="I86" s="76">
        <f t="shared" si="3"/>
        <v>9770</v>
      </c>
      <c r="J86" s="206">
        <v>4255.82</v>
      </c>
      <c r="K86" s="122">
        <f t="shared" si="7"/>
        <v>5514.18</v>
      </c>
      <c r="L86" s="132">
        <f t="shared" si="8"/>
        <v>1.325348336578871E-3</v>
      </c>
      <c r="N86" s="149"/>
    </row>
    <row r="87" spans="1:14">
      <c r="A87" s="60">
        <v>266</v>
      </c>
      <c r="B87" s="54" t="s">
        <v>65</v>
      </c>
      <c r="C87" s="76">
        <v>600</v>
      </c>
      <c r="D87" s="76"/>
      <c r="E87" s="76"/>
      <c r="F87" s="76"/>
      <c r="G87" s="76"/>
      <c r="H87" s="76"/>
      <c r="I87" s="76">
        <f t="shared" si="3"/>
        <v>600</v>
      </c>
      <c r="J87" s="206">
        <v>190</v>
      </c>
      <c r="K87" s="122">
        <f t="shared" si="7"/>
        <v>410</v>
      </c>
      <c r="L87" s="132">
        <f t="shared" si="8"/>
        <v>5.916983893820357E-5</v>
      </c>
      <c r="N87" s="149"/>
    </row>
    <row r="88" spans="1:14">
      <c r="A88" s="60">
        <v>267</v>
      </c>
      <c r="B88" s="54" t="s">
        <v>93</v>
      </c>
      <c r="C88" s="76">
        <v>15000</v>
      </c>
      <c r="D88" s="76"/>
      <c r="E88" s="76"/>
      <c r="F88" s="76">
        <v>7000</v>
      </c>
      <c r="G88" s="76"/>
      <c r="H88" s="76"/>
      <c r="I88" s="76">
        <f t="shared" si="3"/>
        <v>22000</v>
      </c>
      <c r="J88" s="206">
        <v>14265</v>
      </c>
      <c r="K88" s="122">
        <f t="shared" si="7"/>
        <v>7735</v>
      </c>
      <c r="L88" s="132">
        <f t="shared" si="8"/>
        <v>4.4424092234393361E-3</v>
      </c>
      <c r="N88" s="149"/>
    </row>
    <row r="89" spans="1:14">
      <c r="A89" s="60">
        <v>268</v>
      </c>
      <c r="B89" s="54" t="s">
        <v>66</v>
      </c>
      <c r="C89" s="76">
        <v>1858</v>
      </c>
      <c r="D89" s="76"/>
      <c r="E89" s="76"/>
      <c r="F89" s="76"/>
      <c r="G89" s="76"/>
      <c r="H89" s="76"/>
      <c r="I89" s="76">
        <f t="shared" si="3"/>
        <v>1858</v>
      </c>
      <c r="J89" s="206">
        <v>1624.15</v>
      </c>
      <c r="K89" s="122">
        <f t="shared" si="7"/>
        <v>233.84999999999991</v>
      </c>
      <c r="L89" s="132">
        <f t="shared" si="8"/>
        <v>5.0579312584991224E-4</v>
      </c>
      <c r="N89" s="149"/>
    </row>
    <row r="90" spans="1:14">
      <c r="A90" s="60">
        <v>269</v>
      </c>
      <c r="B90" s="54" t="s">
        <v>67</v>
      </c>
      <c r="C90" s="76">
        <v>500</v>
      </c>
      <c r="D90" s="76"/>
      <c r="E90" s="76"/>
      <c r="F90" s="76"/>
      <c r="G90" s="76"/>
      <c r="H90" s="76"/>
      <c r="I90" s="76">
        <f t="shared" si="3"/>
        <v>500</v>
      </c>
      <c r="J90" s="206">
        <v>0</v>
      </c>
      <c r="K90" s="122">
        <f t="shared" si="7"/>
        <v>500</v>
      </c>
      <c r="L90" s="132">
        <f t="shared" si="8"/>
        <v>0</v>
      </c>
      <c r="N90" s="149"/>
    </row>
    <row r="91" spans="1:14">
      <c r="A91" s="60">
        <v>271</v>
      </c>
      <c r="B91" s="54" t="s">
        <v>68</v>
      </c>
      <c r="C91" s="76">
        <v>381250</v>
      </c>
      <c r="D91" s="76"/>
      <c r="E91" s="76"/>
      <c r="F91" s="76"/>
      <c r="G91" s="76">
        <v>300760</v>
      </c>
      <c r="H91" s="76"/>
      <c r="I91" s="76">
        <f t="shared" si="3"/>
        <v>80490</v>
      </c>
      <c r="J91" s="206">
        <v>0</v>
      </c>
      <c r="K91" s="122">
        <f t="shared" si="7"/>
        <v>80490</v>
      </c>
      <c r="L91" s="132">
        <f t="shared" si="8"/>
        <v>0</v>
      </c>
      <c r="N91" s="149"/>
    </row>
    <row r="92" spans="1:14">
      <c r="A92" s="60">
        <v>283</v>
      </c>
      <c r="B92" s="54" t="s">
        <v>69</v>
      </c>
      <c r="C92" s="76">
        <v>1000</v>
      </c>
      <c r="D92" s="76"/>
      <c r="E92" s="76"/>
      <c r="F92" s="76"/>
      <c r="G92" s="76"/>
      <c r="H92" s="76"/>
      <c r="I92" s="76">
        <f t="shared" si="3"/>
        <v>1000</v>
      </c>
      <c r="J92" s="206">
        <v>31.2</v>
      </c>
      <c r="K92" s="122">
        <f t="shared" si="7"/>
        <v>968.8</v>
      </c>
      <c r="L92" s="132">
        <f t="shared" si="8"/>
        <v>9.7163103940629014E-6</v>
      </c>
      <c r="N92" s="149"/>
    </row>
    <row r="93" spans="1:14">
      <c r="A93" s="60">
        <v>284</v>
      </c>
      <c r="B93" s="54" t="s">
        <v>52</v>
      </c>
      <c r="C93" s="76">
        <v>5000</v>
      </c>
      <c r="D93" s="76">
        <v>7000</v>
      </c>
      <c r="E93" s="76"/>
      <c r="F93" s="76"/>
      <c r="G93" s="76"/>
      <c r="H93" s="76"/>
      <c r="I93" s="76">
        <f t="shared" si="3"/>
        <v>12000</v>
      </c>
      <c r="J93" s="206">
        <v>344.23</v>
      </c>
      <c r="K93" s="122">
        <f t="shared" si="7"/>
        <v>11655.77</v>
      </c>
      <c r="L93" s="132">
        <f t="shared" si="8"/>
        <v>1.0720017714577798E-4</v>
      </c>
      <c r="N93" s="149"/>
    </row>
    <row r="94" spans="1:14">
      <c r="A94" s="60">
        <v>285</v>
      </c>
      <c r="B94" s="54" t="s">
        <v>128</v>
      </c>
      <c r="C94" s="76">
        <v>1516915</v>
      </c>
      <c r="D94" s="76"/>
      <c r="E94" s="76">
        <v>476000</v>
      </c>
      <c r="F94" s="76"/>
      <c r="G94" s="76">
        <v>310740</v>
      </c>
      <c r="H94" s="76"/>
      <c r="I94" s="76">
        <f t="shared" si="3"/>
        <v>730175</v>
      </c>
      <c r="J94" s="206">
        <v>0</v>
      </c>
      <c r="K94" s="122">
        <f t="shared" si="7"/>
        <v>730175</v>
      </c>
      <c r="L94" s="132">
        <f t="shared" si="8"/>
        <v>0</v>
      </c>
      <c r="N94" s="149"/>
    </row>
    <row r="95" spans="1:14">
      <c r="A95" s="60">
        <v>291</v>
      </c>
      <c r="B95" s="54" t="s">
        <v>70</v>
      </c>
      <c r="C95" s="76">
        <v>6500</v>
      </c>
      <c r="D95" s="76">
        <v>2500</v>
      </c>
      <c r="E95" s="76"/>
      <c r="F95" s="76"/>
      <c r="G95" s="76"/>
      <c r="H95" s="76"/>
      <c r="I95" s="76">
        <f t="shared" si="3"/>
        <v>9000</v>
      </c>
      <c r="J95" s="206">
        <v>4988.87</v>
      </c>
      <c r="K95" s="122">
        <f t="shared" si="7"/>
        <v>4011.13</v>
      </c>
      <c r="L95" s="132">
        <f t="shared" si="8"/>
        <v>1.5536349178086085E-3</v>
      </c>
      <c r="N95" s="149"/>
    </row>
    <row r="96" spans="1:14">
      <c r="A96" s="60">
        <v>292</v>
      </c>
      <c r="B96" s="54" t="s">
        <v>71</v>
      </c>
      <c r="C96" s="76">
        <v>1300</v>
      </c>
      <c r="D96" s="76">
        <v>500</v>
      </c>
      <c r="E96" s="76"/>
      <c r="F96" s="76"/>
      <c r="G96" s="76"/>
      <c r="H96" s="76"/>
      <c r="I96" s="76">
        <f t="shared" si="3"/>
        <v>1800</v>
      </c>
      <c r="J96" s="206">
        <v>777.31</v>
      </c>
      <c r="K96" s="122">
        <f t="shared" si="7"/>
        <v>1022.69</v>
      </c>
      <c r="L96" s="132">
        <f t="shared" si="8"/>
        <v>2.4207003950028953E-4</v>
      </c>
      <c r="N96" s="149"/>
    </row>
    <row r="97" spans="1:14">
      <c r="A97" s="60">
        <v>294</v>
      </c>
      <c r="B97" s="54" t="s">
        <v>72</v>
      </c>
      <c r="C97" s="76">
        <v>65000</v>
      </c>
      <c r="D97" s="98"/>
      <c r="E97" s="98"/>
      <c r="F97" s="76"/>
      <c r="G97" s="76"/>
      <c r="H97" s="76"/>
      <c r="I97" s="76">
        <f t="shared" si="3"/>
        <v>65000</v>
      </c>
      <c r="J97" s="206">
        <v>19020.95</v>
      </c>
      <c r="K97" s="122">
        <f t="shared" si="7"/>
        <v>45979.05</v>
      </c>
      <c r="L97" s="132">
        <f t="shared" si="8"/>
        <v>5.9235081471138065E-3</v>
      </c>
      <c r="N97" s="149"/>
    </row>
    <row r="98" spans="1:14">
      <c r="A98" s="60">
        <v>296</v>
      </c>
      <c r="B98" s="54" t="s">
        <v>114</v>
      </c>
      <c r="C98" s="76">
        <v>800</v>
      </c>
      <c r="D98" s="76"/>
      <c r="E98" s="76"/>
      <c r="F98" s="76"/>
      <c r="G98" s="76"/>
      <c r="H98" s="76"/>
      <c r="I98" s="76">
        <f>C98+D98-E98+F98-G98</f>
        <v>800</v>
      </c>
      <c r="J98" s="206">
        <v>0</v>
      </c>
      <c r="K98" s="122">
        <f t="shared" si="7"/>
        <v>800</v>
      </c>
      <c r="L98" s="132">
        <f t="shared" si="8"/>
        <v>0</v>
      </c>
      <c r="N98" s="149"/>
    </row>
    <row r="99" spans="1:14">
      <c r="A99" s="60">
        <v>297</v>
      </c>
      <c r="B99" s="54" t="s">
        <v>73</v>
      </c>
      <c r="C99" s="76">
        <v>800</v>
      </c>
      <c r="D99" s="76"/>
      <c r="E99" s="76"/>
      <c r="F99" s="76"/>
      <c r="G99" s="76"/>
      <c r="H99" s="76"/>
      <c r="I99" s="76">
        <f t="shared" si="3"/>
        <v>800</v>
      </c>
      <c r="J99" s="206">
        <v>0</v>
      </c>
      <c r="K99" s="122">
        <f t="shared" si="7"/>
        <v>800</v>
      </c>
      <c r="L99" s="132">
        <f t="shared" si="8"/>
        <v>0</v>
      </c>
      <c r="N99" s="149"/>
    </row>
    <row r="100" spans="1:14">
      <c r="A100" s="60">
        <v>298</v>
      </c>
      <c r="B100" s="54" t="s">
        <v>26</v>
      </c>
      <c r="C100" s="76">
        <v>20000</v>
      </c>
      <c r="D100" s="98"/>
      <c r="E100" s="98"/>
      <c r="F100" s="76"/>
      <c r="G100" s="76">
        <v>5000</v>
      </c>
      <c r="H100" s="76"/>
      <c r="I100" s="76">
        <f t="shared" si="3"/>
        <v>15000</v>
      </c>
      <c r="J100" s="206">
        <v>4988.9400000000005</v>
      </c>
      <c r="K100" s="122">
        <f t="shared" si="7"/>
        <v>10011.06</v>
      </c>
      <c r="L100" s="132">
        <f t="shared" si="8"/>
        <v>1.5536567172229545E-3</v>
      </c>
      <c r="N100" s="149"/>
    </row>
    <row r="101" spans="1:14">
      <c r="A101" s="60">
        <v>299</v>
      </c>
      <c r="B101" s="54" t="s">
        <v>74</v>
      </c>
      <c r="C101" s="76">
        <v>15000</v>
      </c>
      <c r="D101" s="98"/>
      <c r="E101" s="98"/>
      <c r="F101" s="76"/>
      <c r="G101" s="76"/>
      <c r="H101" s="76"/>
      <c r="I101" s="76">
        <f t="shared" si="3"/>
        <v>15000</v>
      </c>
      <c r="J101" s="206">
        <v>5088.3100000000004</v>
      </c>
      <c r="K101" s="122">
        <f t="shared" si="7"/>
        <v>9911.6899999999987</v>
      </c>
      <c r="L101" s="132">
        <f t="shared" si="8"/>
        <v>1.5846025429876349E-3</v>
      </c>
      <c r="N101" s="149"/>
    </row>
    <row r="102" spans="1:14">
      <c r="A102" s="59">
        <v>3</v>
      </c>
      <c r="B102" s="59" t="s">
        <v>12</v>
      </c>
      <c r="C102" s="76"/>
      <c r="D102" s="76"/>
      <c r="E102" s="76"/>
      <c r="F102" s="76"/>
      <c r="G102" s="76"/>
      <c r="H102" s="76"/>
      <c r="I102" s="76"/>
      <c r="J102" s="212"/>
      <c r="K102" s="122"/>
      <c r="L102" s="132"/>
      <c r="N102" s="149"/>
    </row>
    <row r="103" spans="1:14">
      <c r="A103" s="60">
        <v>322</v>
      </c>
      <c r="B103" s="54" t="s">
        <v>88</v>
      </c>
      <c r="C103" s="76">
        <v>32000</v>
      </c>
      <c r="D103" s="76"/>
      <c r="E103" s="76"/>
      <c r="F103" s="76"/>
      <c r="G103" s="76"/>
      <c r="H103" s="76"/>
      <c r="I103" s="206">
        <f t="shared" si="3"/>
        <v>32000</v>
      </c>
      <c r="J103" s="206">
        <v>12025</v>
      </c>
      <c r="K103" s="122">
        <f t="shared" si="7"/>
        <v>19975</v>
      </c>
      <c r="L103" s="132">
        <f>J103/$J$118</f>
        <v>3.7448279643784101E-3</v>
      </c>
      <c r="N103" s="149"/>
    </row>
    <row r="104" spans="1:14">
      <c r="A104" s="60">
        <v>323</v>
      </c>
      <c r="B104" s="54" t="s">
        <v>140</v>
      </c>
      <c r="C104" s="76">
        <v>3000</v>
      </c>
      <c r="D104" s="76"/>
      <c r="E104" s="76"/>
      <c r="F104" s="76"/>
      <c r="G104" s="76"/>
      <c r="H104" s="76"/>
      <c r="I104" s="76">
        <f t="shared" si="3"/>
        <v>3000</v>
      </c>
      <c r="J104" s="206">
        <v>0</v>
      </c>
      <c r="K104" s="122">
        <f t="shared" si="7"/>
        <v>3000</v>
      </c>
      <c r="L104" s="132">
        <f>J104/$J$118</f>
        <v>0</v>
      </c>
      <c r="N104" s="149"/>
    </row>
    <row r="105" spans="1:14">
      <c r="A105" s="60">
        <v>324</v>
      </c>
      <c r="B105" s="54" t="s">
        <v>141</v>
      </c>
      <c r="C105" s="76">
        <v>116220</v>
      </c>
      <c r="D105" s="76"/>
      <c r="E105" s="76"/>
      <c r="F105" s="76"/>
      <c r="G105" s="76"/>
      <c r="H105" s="76"/>
      <c r="I105" s="76">
        <f t="shared" si="3"/>
        <v>116220</v>
      </c>
      <c r="J105" s="206">
        <v>11100</v>
      </c>
      <c r="K105" s="122">
        <f t="shared" si="7"/>
        <v>105120</v>
      </c>
      <c r="L105" s="132">
        <f>J105/$J$118</f>
        <v>3.4567642748108401E-3</v>
      </c>
      <c r="N105" s="149"/>
    </row>
    <row r="106" spans="1:14">
      <c r="A106" s="60">
        <v>328</v>
      </c>
      <c r="B106" s="54" t="s">
        <v>89</v>
      </c>
      <c r="C106" s="76">
        <v>18000</v>
      </c>
      <c r="D106" s="76"/>
      <c r="E106" s="76"/>
      <c r="F106" s="76"/>
      <c r="G106" s="76"/>
      <c r="H106" s="76"/>
      <c r="I106" s="76">
        <f t="shared" si="3"/>
        <v>18000</v>
      </c>
      <c r="J106" s="206">
        <v>11820</v>
      </c>
      <c r="K106" s="122">
        <f t="shared" si="7"/>
        <v>6180</v>
      </c>
      <c r="L106" s="132">
        <f>J106/$J$118</f>
        <v>3.6809868223661377E-3</v>
      </c>
      <c r="N106" s="149"/>
    </row>
    <row r="107" spans="1:14">
      <c r="A107" s="60">
        <v>329</v>
      </c>
      <c r="B107" s="54" t="s">
        <v>90</v>
      </c>
      <c r="C107" s="76">
        <v>8000</v>
      </c>
      <c r="D107" s="76">
        <v>5000</v>
      </c>
      <c r="E107" s="76"/>
      <c r="F107" s="76"/>
      <c r="G107" s="76"/>
      <c r="H107" s="76"/>
      <c r="I107" s="76">
        <f t="shared" si="3"/>
        <v>13000</v>
      </c>
      <c r="J107" s="206">
        <v>0</v>
      </c>
      <c r="K107" s="122">
        <f t="shared" si="7"/>
        <v>13000</v>
      </c>
      <c r="L107" s="132">
        <f>J107/$J$118</f>
        <v>0</v>
      </c>
      <c r="N107" s="149"/>
    </row>
    <row r="108" spans="1:14">
      <c r="A108" s="60"/>
      <c r="B108" s="54"/>
      <c r="C108" s="76"/>
      <c r="D108" s="76"/>
      <c r="E108" s="76"/>
      <c r="F108" s="76"/>
      <c r="G108" s="76"/>
      <c r="H108" s="76"/>
      <c r="I108" s="76"/>
      <c r="J108" s="206"/>
      <c r="K108" s="122"/>
      <c r="L108" s="132"/>
      <c r="N108" s="149"/>
    </row>
    <row r="109" spans="1:14">
      <c r="A109" s="60"/>
      <c r="B109" s="54"/>
      <c r="C109" s="76"/>
      <c r="D109" s="76"/>
      <c r="E109" s="76"/>
      <c r="F109" s="76"/>
      <c r="G109" s="76"/>
      <c r="H109" s="76"/>
      <c r="I109" s="76"/>
      <c r="J109" s="206"/>
      <c r="K109" s="122"/>
      <c r="L109" s="132"/>
      <c r="N109" s="149"/>
    </row>
    <row r="110" spans="1:14">
      <c r="A110" s="59"/>
      <c r="B110" s="59"/>
      <c r="C110" s="76"/>
      <c r="D110" s="76"/>
      <c r="E110" s="76"/>
      <c r="F110" s="76"/>
      <c r="G110" s="76"/>
      <c r="H110" s="76"/>
      <c r="I110" s="76"/>
      <c r="J110" s="206"/>
      <c r="K110" s="122"/>
      <c r="L110" s="132"/>
      <c r="N110" s="149"/>
    </row>
    <row r="111" spans="1:14">
      <c r="A111" s="59">
        <v>4</v>
      </c>
      <c r="B111" s="59" t="s">
        <v>13</v>
      </c>
      <c r="C111" s="76"/>
      <c r="D111" s="76"/>
      <c r="E111" s="76"/>
      <c r="F111" s="76"/>
      <c r="G111" s="76"/>
      <c r="H111" s="76"/>
      <c r="I111" s="76"/>
      <c r="J111" s="206"/>
      <c r="K111" s="122"/>
      <c r="L111" s="132"/>
      <c r="N111" s="149"/>
    </row>
    <row r="112" spans="1:14">
      <c r="A112" s="61">
        <v>413</v>
      </c>
      <c r="B112" s="62" t="s">
        <v>77</v>
      </c>
      <c r="C112" s="76">
        <v>46000</v>
      </c>
      <c r="D112" s="76"/>
      <c r="E112" s="76"/>
      <c r="F112" s="76"/>
      <c r="G112" s="76"/>
      <c r="H112" s="76"/>
      <c r="I112" s="76">
        <f t="shared" ref="I112:I116" si="9">C112+D112-E112+F112-G112</f>
        <v>46000</v>
      </c>
      <c r="J112" s="206">
        <v>0</v>
      </c>
      <c r="K112" s="122">
        <f t="shared" ref="K112:K116" si="10">I112-J112</f>
        <v>46000</v>
      </c>
      <c r="L112" s="132">
        <f>J112/$J$118</f>
        <v>0</v>
      </c>
      <c r="N112" s="149"/>
    </row>
    <row r="113" spans="1:14">
      <c r="A113" s="61">
        <v>415</v>
      </c>
      <c r="B113" s="62" t="s">
        <v>78</v>
      </c>
      <c r="C113" s="76">
        <v>30100</v>
      </c>
      <c r="D113" s="76"/>
      <c r="E113" s="76"/>
      <c r="F113" s="76"/>
      <c r="G113" s="76"/>
      <c r="H113" s="76"/>
      <c r="I113" s="76">
        <f t="shared" si="9"/>
        <v>30100</v>
      </c>
      <c r="J113" s="206">
        <v>0</v>
      </c>
      <c r="K113" s="122">
        <f t="shared" si="10"/>
        <v>30100</v>
      </c>
      <c r="L113" s="132">
        <f>J113/$J$118</f>
        <v>0</v>
      </c>
      <c r="N113" s="149"/>
    </row>
    <row r="114" spans="1:14">
      <c r="A114" s="61">
        <v>419</v>
      </c>
      <c r="B114" s="62" t="s">
        <v>79</v>
      </c>
      <c r="C114" s="76">
        <v>19200</v>
      </c>
      <c r="D114" s="76"/>
      <c r="E114" s="76"/>
      <c r="F114" s="76"/>
      <c r="G114" s="76"/>
      <c r="H114" s="76"/>
      <c r="I114" s="76">
        <f t="shared" si="9"/>
        <v>19200</v>
      </c>
      <c r="J114" s="206">
        <v>2400</v>
      </c>
      <c r="K114" s="122">
        <f t="shared" si="10"/>
        <v>16800</v>
      </c>
      <c r="L114" s="132">
        <f>J114/$J$118</f>
        <v>7.4740849185099241E-4</v>
      </c>
      <c r="N114" s="149"/>
    </row>
    <row r="115" spans="1:14">
      <c r="A115" s="61">
        <v>453</v>
      </c>
      <c r="B115" s="62" t="s">
        <v>80</v>
      </c>
      <c r="C115" s="76">
        <v>120000</v>
      </c>
      <c r="D115" s="76"/>
      <c r="E115" s="76"/>
      <c r="F115" s="76">
        <v>105000</v>
      </c>
      <c r="G115" s="76"/>
      <c r="H115" s="76"/>
      <c r="I115" s="76">
        <f>C115+D115-E115+F115-G115</f>
        <v>225000</v>
      </c>
      <c r="J115" s="206">
        <v>143021.61000000002</v>
      </c>
      <c r="K115" s="122">
        <f t="shared" si="10"/>
        <v>81978.389999999985</v>
      </c>
      <c r="L115" s="132">
        <f>J115/$J$118</f>
        <v>4.4539819096750345E-2</v>
      </c>
      <c r="N115" s="149"/>
    </row>
    <row r="116" spans="1:14">
      <c r="A116" s="61">
        <v>472</v>
      </c>
      <c r="B116" s="62" t="s">
        <v>118</v>
      </c>
      <c r="C116" s="76">
        <v>4000</v>
      </c>
      <c r="D116" s="76"/>
      <c r="E116" s="76"/>
      <c r="F116" s="76"/>
      <c r="G116" s="76"/>
      <c r="H116" s="76"/>
      <c r="I116" s="76">
        <f t="shared" si="9"/>
        <v>4000</v>
      </c>
      <c r="J116" s="206">
        <v>2089.9</v>
      </c>
      <c r="K116" s="122">
        <f t="shared" si="10"/>
        <v>1910.1</v>
      </c>
      <c r="L116" s="132">
        <f>J116/$J$118</f>
        <v>6.5083708629974548E-4</v>
      </c>
      <c r="N116" s="149"/>
    </row>
    <row r="117" spans="1:14" ht="20.25" customHeight="1" thickBot="1">
      <c r="A117" s="56"/>
      <c r="B117" s="160"/>
      <c r="C117" s="161"/>
      <c r="D117" s="76"/>
      <c r="E117" s="76"/>
      <c r="F117" s="101"/>
      <c r="G117" s="101"/>
      <c r="H117" s="101"/>
      <c r="I117" s="52"/>
      <c r="J117" s="213"/>
      <c r="K117" s="125"/>
      <c r="L117" s="132"/>
    </row>
    <row r="118" spans="1:14" ht="20.25" customHeight="1" thickBot="1">
      <c r="A118" s="162"/>
      <c r="B118" s="19" t="s">
        <v>7</v>
      </c>
      <c r="C118" s="11">
        <f>SUM(C20:C117)</f>
        <v>6176079.2063746657</v>
      </c>
      <c r="D118" s="11">
        <f>SUM(D20:D117)</f>
        <v>833550</v>
      </c>
      <c r="E118" s="11">
        <f>SUM(E20:E117)</f>
        <v>833550</v>
      </c>
      <c r="F118" s="11">
        <f t="shared" ref="F118:K118" si="11">SUM(F20:F117)</f>
        <v>776500</v>
      </c>
      <c r="G118" s="11">
        <f t="shared" si="11"/>
        <v>776500</v>
      </c>
      <c r="H118" s="11">
        <f t="shared" si="11"/>
        <v>0</v>
      </c>
      <c r="I118" s="11">
        <f t="shared" si="11"/>
        <v>6176079.2063746676</v>
      </c>
      <c r="J118" s="214">
        <f>SUM(J20:J117)</f>
        <v>3211095.4400000013</v>
      </c>
      <c r="K118" s="11">
        <f t="shared" si="11"/>
        <v>2964983.7663746662</v>
      </c>
      <c r="L118" s="163">
        <f>J118/J118</f>
        <v>1</v>
      </c>
    </row>
    <row r="119" spans="1:14" ht="20.25" customHeight="1">
      <c r="A119" s="164"/>
      <c r="B119" s="36"/>
      <c r="C119" s="37"/>
      <c r="D119" s="37"/>
      <c r="E119" s="37"/>
      <c r="F119" s="37"/>
      <c r="G119" s="64"/>
      <c r="H119" s="37"/>
      <c r="I119" s="37"/>
      <c r="J119" s="215"/>
      <c r="K119" s="37"/>
      <c r="L119" s="39"/>
    </row>
    <row r="120" spans="1:14" ht="20.25" customHeight="1" thickBot="1">
      <c r="A120" s="164"/>
      <c r="B120" s="36"/>
      <c r="C120" s="37"/>
      <c r="D120" s="37"/>
      <c r="E120" s="37"/>
      <c r="F120" s="37"/>
      <c r="G120" s="37"/>
      <c r="H120" s="37"/>
      <c r="I120" s="37"/>
      <c r="J120" s="215"/>
      <c r="K120" s="37"/>
      <c r="L120" s="39"/>
    </row>
    <row r="121" spans="1:14" s="35" customFormat="1">
      <c r="A121" s="81" t="s">
        <v>8</v>
      </c>
      <c r="B121" s="81"/>
      <c r="C121" s="165"/>
      <c r="D121" s="32"/>
      <c r="E121" s="32"/>
      <c r="F121" s="96"/>
      <c r="G121" s="96"/>
      <c r="H121" s="96"/>
      <c r="I121" s="42"/>
      <c r="J121" s="216"/>
      <c r="K121" s="33"/>
      <c r="L121" s="34"/>
    </row>
    <row r="122" spans="1:14" s="35" customFormat="1">
      <c r="A122" s="84" t="s">
        <v>0</v>
      </c>
      <c r="B122" s="84"/>
      <c r="C122" s="166"/>
      <c r="D122" s="32"/>
      <c r="E122" s="32"/>
      <c r="F122" s="96"/>
      <c r="G122" s="96"/>
      <c r="H122" s="96"/>
      <c r="I122" s="42"/>
      <c r="J122" s="216"/>
      <c r="K122" s="33"/>
      <c r="L122" s="34"/>
    </row>
    <row r="123" spans="1:14" s="35" customFormat="1" ht="12" customHeight="1" thickBot="1">
      <c r="A123" s="84"/>
      <c r="B123" s="84"/>
      <c r="C123" s="166"/>
      <c r="D123" s="32"/>
      <c r="E123" s="32"/>
      <c r="F123" s="96"/>
      <c r="G123" s="96"/>
      <c r="H123" s="96"/>
      <c r="I123" s="42"/>
      <c r="J123" s="216"/>
      <c r="K123" s="33"/>
      <c r="L123" s="34"/>
    </row>
    <row r="124" spans="1:14" s="35" customFormat="1">
      <c r="A124" s="90" t="s">
        <v>121</v>
      </c>
      <c r="B124" s="85"/>
      <c r="C124" s="167"/>
      <c r="D124" s="32"/>
      <c r="E124" s="32"/>
      <c r="F124" s="96"/>
      <c r="G124" s="96"/>
      <c r="H124" s="96"/>
      <c r="I124" s="42"/>
      <c r="J124" s="216"/>
      <c r="K124" s="33"/>
      <c r="L124" s="34"/>
    </row>
    <row r="125" spans="1:14" s="35" customFormat="1">
      <c r="A125" s="91" t="s">
        <v>131</v>
      </c>
      <c r="B125" s="83"/>
      <c r="C125" s="168">
        <v>1077959.21</v>
      </c>
      <c r="D125" s="32"/>
      <c r="E125" s="169"/>
      <c r="F125" s="96"/>
      <c r="G125" s="96"/>
      <c r="H125" s="96"/>
      <c r="I125" s="42"/>
      <c r="J125" s="216"/>
      <c r="K125" s="33"/>
      <c r="L125" s="34"/>
    </row>
    <row r="126" spans="1:14" s="35" customFormat="1">
      <c r="A126" s="91" t="s">
        <v>81</v>
      </c>
      <c r="B126" s="83"/>
      <c r="C126" s="168">
        <f>ROUND((J18),2)</f>
        <v>3191730.04</v>
      </c>
      <c r="D126" s="32"/>
      <c r="E126" s="169"/>
      <c r="F126" s="135"/>
      <c r="G126" s="96"/>
      <c r="H126" s="96"/>
      <c r="I126" s="42"/>
      <c r="J126" s="216"/>
      <c r="K126" s="33"/>
      <c r="L126" s="34"/>
    </row>
    <row r="127" spans="1:14" s="35" customFormat="1">
      <c r="A127" s="91" t="s">
        <v>94</v>
      </c>
      <c r="B127" s="83"/>
      <c r="C127" s="109">
        <f>-ROUND((J118),2)</f>
        <v>-3211095.44</v>
      </c>
      <c r="D127" s="32"/>
      <c r="E127" s="169"/>
      <c r="F127" s="135"/>
      <c r="G127" s="96"/>
      <c r="H127" s="96"/>
      <c r="I127" s="42"/>
      <c r="J127" s="216"/>
      <c r="K127" s="33"/>
      <c r="L127" s="34"/>
    </row>
    <row r="128" spans="1:14" s="35" customFormat="1">
      <c r="A128" s="93" t="s">
        <v>120</v>
      </c>
      <c r="B128" s="83"/>
      <c r="C128" s="170">
        <f>SUM(C125:C127)</f>
        <v>1058593.81</v>
      </c>
      <c r="D128" s="171"/>
      <c r="E128" s="169"/>
      <c r="F128" s="135"/>
      <c r="G128" s="96"/>
      <c r="H128" s="96"/>
      <c r="I128" s="42"/>
      <c r="J128" s="216"/>
      <c r="K128" s="33"/>
      <c r="L128" s="34"/>
    </row>
    <row r="129" spans="1:12" s="35" customFormat="1">
      <c r="A129" s="92" t="s">
        <v>122</v>
      </c>
      <c r="B129" s="82"/>
      <c r="C129" s="119"/>
      <c r="D129" s="32"/>
      <c r="E129" s="32"/>
      <c r="F129" s="130"/>
      <c r="G129" s="118"/>
      <c r="H129" s="96"/>
      <c r="I129" s="42"/>
      <c r="J129" s="216"/>
      <c r="K129" s="33"/>
      <c r="L129" s="34"/>
    </row>
    <row r="130" spans="1:12" s="35" customFormat="1">
      <c r="A130" s="91"/>
      <c r="B130" s="83"/>
      <c r="C130" s="168">
        <v>0</v>
      </c>
      <c r="D130" s="32"/>
      <c r="E130" s="32"/>
      <c r="F130" s="131"/>
      <c r="G130" s="118"/>
      <c r="H130" s="96"/>
      <c r="I130" s="42"/>
      <c r="J130" s="216"/>
      <c r="K130" s="33"/>
      <c r="L130" s="34"/>
    </row>
    <row r="131" spans="1:12" s="35" customFormat="1" ht="6.95" customHeight="1">
      <c r="A131" s="91"/>
      <c r="B131" s="83"/>
      <c r="C131" s="109"/>
      <c r="D131" s="32"/>
      <c r="E131" s="95"/>
      <c r="F131" s="117"/>
      <c r="G131" s="118"/>
      <c r="H131" s="96"/>
      <c r="I131" s="42"/>
      <c r="J131" s="216"/>
      <c r="K131" s="33"/>
      <c r="L131" s="34"/>
    </row>
    <row r="132" spans="1:12" s="35" customFormat="1">
      <c r="A132" s="91"/>
      <c r="B132" s="83"/>
      <c r="C132" s="170">
        <f>SUM(C130:C131)</f>
        <v>0</v>
      </c>
      <c r="D132" s="32"/>
      <c r="E132" s="32"/>
      <c r="F132" s="117"/>
      <c r="G132" s="118"/>
      <c r="H132" s="96"/>
      <c r="I132" s="42"/>
      <c r="J132" s="216"/>
      <c r="K132" s="33"/>
      <c r="L132" s="34"/>
    </row>
    <row r="133" spans="1:12" s="35" customFormat="1" ht="6.95" customHeight="1">
      <c r="A133" s="91"/>
      <c r="B133" s="83"/>
      <c r="C133" s="109"/>
      <c r="D133" s="32"/>
      <c r="E133" s="32"/>
      <c r="F133" s="96"/>
      <c r="G133" s="96"/>
      <c r="H133" s="96"/>
      <c r="I133" s="42"/>
      <c r="J133" s="216"/>
      <c r="K133" s="33"/>
      <c r="L133" s="34"/>
    </row>
    <row r="134" spans="1:12" s="35" customFormat="1" ht="6.95" customHeight="1">
      <c r="A134" s="91"/>
      <c r="B134" s="83"/>
      <c r="C134" s="172"/>
      <c r="D134" s="32"/>
      <c r="E134" s="32"/>
      <c r="F134" s="96"/>
      <c r="G134" s="96"/>
      <c r="H134" s="96"/>
      <c r="I134" s="42"/>
      <c r="J134" s="216"/>
      <c r="K134" s="33"/>
      <c r="L134" s="34"/>
    </row>
    <row r="135" spans="1:12" s="35" customFormat="1" ht="18.75" thickBot="1">
      <c r="A135" s="93" t="s">
        <v>174</v>
      </c>
      <c r="B135" s="88"/>
      <c r="C135" s="173">
        <f>C128+C132</f>
        <v>1058593.81</v>
      </c>
      <c r="D135" s="174"/>
      <c r="F135" s="96"/>
      <c r="G135" s="96"/>
      <c r="H135" s="96"/>
      <c r="I135" s="42"/>
      <c r="J135" s="216"/>
      <c r="K135" s="33"/>
      <c r="L135" s="34"/>
    </row>
    <row r="136" spans="1:12" s="35" customFormat="1" ht="6.95" customHeight="1" thickTop="1" thickBot="1">
      <c r="A136" s="94"/>
      <c r="B136" s="87"/>
      <c r="C136" s="175"/>
      <c r="D136" s="174"/>
      <c r="F136" s="96"/>
      <c r="G136" s="96"/>
      <c r="H136" s="96"/>
      <c r="I136" s="42"/>
      <c r="J136" s="216"/>
      <c r="K136" s="33"/>
      <c r="L136" s="34"/>
    </row>
    <row r="137" spans="1:12">
      <c r="A137" s="43"/>
      <c r="B137" s="43"/>
      <c r="C137" s="176">
        <f>1058593.81-C135</f>
        <v>0</v>
      </c>
      <c r="D137" s="174"/>
      <c r="F137" s="136"/>
      <c r="G137" s="102"/>
      <c r="H137" s="102"/>
      <c r="I137" s="102"/>
      <c r="K137" s="102"/>
      <c r="L137" s="102"/>
    </row>
    <row r="138" spans="1:12">
      <c r="A138" s="43"/>
      <c r="B138" s="43"/>
      <c r="C138" s="177"/>
      <c r="D138" s="174"/>
      <c r="F138" s="102"/>
      <c r="G138" s="102"/>
      <c r="H138" s="102"/>
      <c r="I138" s="102"/>
      <c r="K138" s="102"/>
      <c r="L138" s="102"/>
    </row>
    <row r="139" spans="1:12">
      <c r="A139" s="36"/>
      <c r="B139" s="178" t="s">
        <v>173</v>
      </c>
      <c r="C139" s="179"/>
      <c r="D139" s="174"/>
      <c r="E139" s="95"/>
      <c r="F139" s="102"/>
      <c r="G139" s="102"/>
      <c r="I139" s="102"/>
      <c r="K139" s="102"/>
      <c r="L139" s="102"/>
    </row>
    <row r="140" spans="1:12">
      <c r="A140" s="36"/>
      <c r="B140" s="43"/>
      <c r="C140" s="180"/>
      <c r="D140" s="174"/>
      <c r="E140" s="102"/>
      <c r="F140" s="102"/>
      <c r="G140" s="102"/>
      <c r="H140" s="102"/>
      <c r="I140" s="102"/>
      <c r="K140" s="102"/>
      <c r="L140" s="102"/>
    </row>
    <row r="141" spans="1:12">
      <c r="A141" s="36"/>
      <c r="B141" s="43"/>
      <c r="C141" s="180"/>
      <c r="D141" s="174"/>
      <c r="E141" s="102"/>
      <c r="F141" s="102"/>
      <c r="G141" s="102"/>
      <c r="H141" s="102"/>
      <c r="I141" s="102"/>
      <c r="K141" s="102"/>
      <c r="L141" s="102"/>
    </row>
    <row r="142" spans="1:12">
      <c r="A142" s="36"/>
      <c r="B142" s="43"/>
      <c r="C142" s="149"/>
      <c r="D142" s="174"/>
      <c r="E142" s="102"/>
      <c r="F142" s="102"/>
      <c r="G142" s="102"/>
      <c r="H142" s="102"/>
      <c r="I142" s="102"/>
      <c r="K142" s="102"/>
      <c r="L142" s="102"/>
    </row>
    <row r="143" spans="1:12">
      <c r="A143" s="36"/>
      <c r="B143" s="43"/>
      <c r="C143" s="149"/>
      <c r="E143" s="102"/>
      <c r="F143" s="102"/>
      <c r="G143" s="102"/>
      <c r="H143" s="102"/>
      <c r="I143" s="102"/>
      <c r="K143" s="102"/>
      <c r="L143" s="102"/>
    </row>
    <row r="144" spans="1:12">
      <c r="A144" s="164"/>
      <c r="B144" s="43"/>
      <c r="C144" s="45"/>
      <c r="D144" s="42"/>
      <c r="E144" s="95"/>
      <c r="F144" s="95"/>
      <c r="G144" s="102"/>
      <c r="H144" s="102"/>
      <c r="I144" s="102"/>
      <c r="K144" s="102"/>
      <c r="L144" s="102"/>
    </row>
    <row r="145" spans="1:13">
      <c r="A145" s="164"/>
      <c r="B145" s="102"/>
      <c r="C145" s="181"/>
      <c r="D145" s="102"/>
      <c r="E145" s="95"/>
      <c r="F145" s="95"/>
      <c r="G145" s="102"/>
      <c r="H145" s="102"/>
      <c r="I145" s="102"/>
      <c r="K145" s="102"/>
      <c r="L145" s="102"/>
    </row>
    <row r="146" spans="1:13" ht="18.75">
      <c r="A146" s="164"/>
      <c r="B146" s="103" t="s">
        <v>152</v>
      </c>
      <c r="C146" s="182" t="s">
        <v>153</v>
      </c>
      <c r="E146" s="103"/>
      <c r="F146" s="103"/>
      <c r="G146" s="182" t="s">
        <v>156</v>
      </c>
      <c r="J146" s="104"/>
      <c r="K146" s="126"/>
      <c r="L146" s="103"/>
    </row>
    <row r="147" spans="1:13" ht="18.75">
      <c r="A147" s="164"/>
      <c r="B147" s="183" t="s">
        <v>154</v>
      </c>
      <c r="C147" s="184" t="s">
        <v>155</v>
      </c>
      <c r="E147" s="104"/>
      <c r="F147" s="145"/>
      <c r="G147" s="184" t="s">
        <v>148</v>
      </c>
      <c r="J147" s="104"/>
      <c r="K147" s="104"/>
      <c r="L147" s="104"/>
    </row>
    <row r="148" spans="1:13" ht="18.75">
      <c r="A148" s="164"/>
      <c r="B148" s="104"/>
      <c r="D148" s="126"/>
      <c r="E148" s="104"/>
      <c r="F148" s="104"/>
      <c r="G148" s="104"/>
      <c r="H148" s="104"/>
      <c r="I148" s="185"/>
      <c r="J148" s="104"/>
      <c r="K148" s="104"/>
      <c r="L148" s="104"/>
    </row>
    <row r="149" spans="1:13" ht="18.75">
      <c r="A149" s="164"/>
      <c r="B149" s="104"/>
      <c r="C149" s="149"/>
      <c r="D149" s="104"/>
      <c r="F149" s="104"/>
      <c r="G149" s="104"/>
      <c r="H149" s="104"/>
      <c r="I149" s="104"/>
      <c r="J149" s="104"/>
      <c r="L149" s="104"/>
    </row>
    <row r="150" spans="1:13">
      <c r="A150" s="29"/>
      <c r="B150" s="153"/>
      <c r="C150" s="114"/>
      <c r="D150" s="153"/>
      <c r="F150" s="116"/>
      <c r="G150" s="116"/>
      <c r="H150" s="116"/>
      <c r="I150" s="153"/>
      <c r="J150" s="217"/>
      <c r="L150" s="34"/>
      <c r="M150" s="35"/>
    </row>
    <row r="151" spans="1:13">
      <c r="A151" s="29"/>
      <c r="B151" s="113"/>
      <c r="C151" s="114"/>
      <c r="D151" s="116"/>
      <c r="E151" s="116"/>
      <c r="F151" s="116"/>
      <c r="G151" s="116"/>
      <c r="H151" s="116"/>
      <c r="I151" s="116"/>
      <c r="J151" s="217"/>
      <c r="K151" s="33"/>
      <c r="L151" s="34"/>
      <c r="M151" s="35"/>
    </row>
    <row r="152" spans="1:13">
      <c r="A152" s="36"/>
      <c r="B152" s="28"/>
      <c r="C152" s="115"/>
      <c r="D152" s="116"/>
      <c r="E152" s="116"/>
      <c r="F152" s="116"/>
      <c r="G152" s="116"/>
      <c r="H152" s="116"/>
      <c r="I152" s="116"/>
      <c r="J152" s="217"/>
      <c r="K152" s="38"/>
      <c r="L152" s="39"/>
      <c r="M152" s="35"/>
    </row>
    <row r="153" spans="1:13">
      <c r="A153" s="36"/>
      <c r="B153" s="259"/>
      <c r="C153" s="259"/>
      <c r="D153" s="41"/>
      <c r="E153" s="40"/>
      <c r="F153" s="28"/>
      <c r="G153" s="28"/>
      <c r="H153" s="40"/>
      <c r="I153" s="40"/>
      <c r="J153" s="218"/>
      <c r="K153" s="40"/>
      <c r="L153" s="40"/>
      <c r="M153" s="35"/>
    </row>
    <row r="154" spans="1:13">
      <c r="A154" s="36"/>
      <c r="B154" s="36"/>
      <c r="C154" s="28"/>
      <c r="D154" s="28"/>
      <c r="E154" s="42"/>
      <c r="F154" s="28"/>
      <c r="G154" s="28"/>
      <c r="H154" s="42"/>
      <c r="I154" s="42"/>
      <c r="J154" s="219"/>
      <c r="K154" s="42"/>
      <c r="L154" s="42"/>
      <c r="M154" s="35"/>
    </row>
    <row r="155" spans="1:13">
      <c r="A155" s="36"/>
      <c r="B155" s="43"/>
      <c r="C155" s="42"/>
      <c r="D155" s="28"/>
      <c r="E155" s="28"/>
      <c r="F155" s="28"/>
      <c r="G155" s="28"/>
      <c r="H155" s="28"/>
      <c r="I155" s="28"/>
      <c r="J155" s="35"/>
      <c r="K155" s="28"/>
      <c r="L155" s="28"/>
      <c r="M155" s="35"/>
    </row>
    <row r="156" spans="1:13">
      <c r="A156" s="36"/>
      <c r="B156" s="43"/>
      <c r="C156" s="42"/>
      <c r="D156" s="28"/>
      <c r="E156" s="28"/>
      <c r="F156" s="28"/>
      <c r="G156" s="28"/>
      <c r="H156" s="28"/>
      <c r="I156" s="28"/>
      <c r="J156" s="35"/>
      <c r="K156" s="28"/>
      <c r="L156" s="44"/>
      <c r="M156" s="35"/>
    </row>
    <row r="157" spans="1:13">
      <c r="A157" s="36"/>
      <c r="B157" s="43"/>
      <c r="C157" s="42"/>
      <c r="D157" s="28"/>
      <c r="E157" s="28"/>
      <c r="F157" s="28"/>
      <c r="G157" s="28"/>
      <c r="H157" s="28"/>
      <c r="I157" s="28"/>
      <c r="J157" s="35"/>
      <c r="K157" s="28"/>
      <c r="L157" s="28"/>
      <c r="M157" s="35"/>
    </row>
    <row r="158" spans="1:13">
      <c r="A158" s="36"/>
      <c r="B158" s="43"/>
      <c r="C158" s="45"/>
      <c r="D158" s="28"/>
      <c r="E158" s="28"/>
      <c r="F158" s="28"/>
      <c r="G158" s="28"/>
      <c r="H158" s="28"/>
      <c r="I158" s="28"/>
      <c r="J158" s="35"/>
      <c r="K158" s="28"/>
      <c r="L158" s="28"/>
      <c r="M158" s="35"/>
    </row>
    <row r="159" spans="1:13">
      <c r="A159" s="36"/>
      <c r="B159" s="43"/>
      <c r="C159" s="45"/>
      <c r="D159" s="28"/>
      <c r="E159" s="28"/>
      <c r="F159" s="35"/>
      <c r="G159" s="35"/>
      <c r="H159" s="28"/>
      <c r="I159" s="28"/>
      <c r="J159" s="35"/>
      <c r="K159" s="28"/>
      <c r="L159" s="28"/>
      <c r="M159" s="35"/>
    </row>
    <row r="160" spans="1:13">
      <c r="A160" s="36"/>
      <c r="B160" s="35"/>
      <c r="C160" s="35"/>
      <c r="D160" s="28"/>
      <c r="E160" s="28"/>
      <c r="F160" s="35"/>
      <c r="G160" s="35"/>
      <c r="H160" s="28"/>
      <c r="I160" s="28"/>
      <c r="J160" s="35"/>
      <c r="K160" s="28"/>
      <c r="L160" s="28"/>
      <c r="M160" s="35"/>
    </row>
    <row r="161" spans="1:13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</row>
    <row r="162" spans="1:13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</row>
    <row r="163" spans="1:13">
      <c r="A163" s="35"/>
      <c r="B163" s="35"/>
      <c r="C163" s="35"/>
      <c r="D163" s="35"/>
      <c r="E163" s="35"/>
      <c r="H163" s="35"/>
      <c r="I163" s="35"/>
      <c r="J163" s="35"/>
      <c r="K163" s="35"/>
      <c r="L163" s="35"/>
      <c r="M163" s="35"/>
    </row>
    <row r="164" spans="1:13">
      <c r="A164" s="35"/>
      <c r="D164" s="35"/>
      <c r="E164" s="35"/>
      <c r="H164" s="35"/>
      <c r="I164" s="35"/>
      <c r="J164" s="35"/>
      <c r="K164" s="35"/>
      <c r="L164" s="35"/>
      <c r="M164" s="35"/>
    </row>
  </sheetData>
  <mergeCells count="4">
    <mergeCell ref="J6:J7"/>
    <mergeCell ref="B153:C153"/>
    <mergeCell ref="A6:A7"/>
    <mergeCell ref="B6:B7"/>
  </mergeCells>
  <printOptions horizontalCentered="1"/>
  <pageMargins left="0.39370078740157483" right="0.39370078740157483" top="0.78740157480314965" bottom="0.78740157480314965" header="0.31496062992125984" footer="0.31496062992125984"/>
  <pageSetup scale="5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2"/>
  <sheetViews>
    <sheetView showGridLines="0" zoomScale="75" zoomScaleNormal="75" workbookViewId="0">
      <selection activeCell="D5" sqref="D5"/>
    </sheetView>
  </sheetViews>
  <sheetFormatPr baseColWidth="10" defaultColWidth="11.42578125" defaultRowHeight="18"/>
  <cols>
    <col min="1" max="1" width="11.7109375" style="5" customWidth="1"/>
    <col min="2" max="2" width="67.7109375" style="5" customWidth="1"/>
    <col min="3" max="3" width="18.7109375" style="5" customWidth="1"/>
    <col min="4" max="7" width="17.7109375" style="5" customWidth="1"/>
    <col min="8" max="8" width="14.7109375" style="5" customWidth="1"/>
    <col min="9" max="9" width="18.7109375" style="5" customWidth="1"/>
    <col min="10" max="11" width="19.7109375" style="5" customWidth="1"/>
    <col min="12" max="12" width="12.7109375" style="5" customWidth="1"/>
    <col min="13" max="13" width="7" style="5" customWidth="1"/>
    <col min="14" max="14" width="19.5703125" style="5" bestFit="1" customWidth="1"/>
    <col min="15" max="16384" width="11.42578125" style="5"/>
  </cols>
  <sheetData>
    <row r="1" spans="1:14">
      <c r="A1" s="97" t="s">
        <v>39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4">
      <c r="A2" s="97" t="s">
        <v>119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4">
      <c r="A3" s="97" t="s">
        <v>175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</row>
    <row r="4" spans="1:14" ht="17.850000000000001" customHeight="1">
      <c r="A4" s="97" t="s">
        <v>0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</row>
    <row r="5" spans="1:14" ht="17.850000000000001" customHeight="1" thickBo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</row>
    <row r="6" spans="1:14" ht="18.75" thickBot="1">
      <c r="A6" s="260" t="s">
        <v>5</v>
      </c>
      <c r="B6" s="262" t="s">
        <v>40</v>
      </c>
      <c r="C6" s="3" t="s">
        <v>1</v>
      </c>
      <c r="D6" s="256" t="s">
        <v>171</v>
      </c>
      <c r="E6" s="256"/>
      <c r="F6" s="256" t="s">
        <v>191</v>
      </c>
      <c r="G6" s="256"/>
      <c r="H6" s="3" t="s">
        <v>42</v>
      </c>
      <c r="I6" s="3" t="s">
        <v>1</v>
      </c>
      <c r="J6" s="265" t="s">
        <v>2</v>
      </c>
      <c r="K6" s="4" t="s">
        <v>29</v>
      </c>
      <c r="L6" s="3" t="s">
        <v>31</v>
      </c>
    </row>
    <row r="7" spans="1:14" ht="18.75" thickBot="1">
      <c r="A7" s="261"/>
      <c r="B7" s="263"/>
      <c r="C7" s="6" t="s">
        <v>3</v>
      </c>
      <c r="D7" s="7" t="s">
        <v>145</v>
      </c>
      <c r="E7" s="7" t="s">
        <v>146</v>
      </c>
      <c r="F7" s="7" t="s">
        <v>145</v>
      </c>
      <c r="G7" s="7" t="s">
        <v>146</v>
      </c>
      <c r="H7" s="6" t="s">
        <v>33</v>
      </c>
      <c r="I7" s="6" t="s">
        <v>4</v>
      </c>
      <c r="J7" s="266"/>
      <c r="K7" s="8" t="s">
        <v>30</v>
      </c>
      <c r="L7" s="9" t="s">
        <v>32</v>
      </c>
    </row>
    <row r="8" spans="1:14">
      <c r="A8" s="69"/>
      <c r="B8" s="71" t="s">
        <v>116</v>
      </c>
      <c r="C8" s="98"/>
      <c r="D8" s="98"/>
      <c r="E8" s="98"/>
      <c r="F8" s="98"/>
      <c r="G8" s="98"/>
      <c r="H8" s="98"/>
      <c r="I8" s="98"/>
      <c r="J8" s="208"/>
      <c r="K8" s="203"/>
      <c r="L8" s="98"/>
    </row>
    <row r="9" spans="1:14">
      <c r="A9" s="222"/>
      <c r="B9" s="223"/>
      <c r="C9" s="98"/>
      <c r="D9" s="98"/>
      <c r="E9" s="98"/>
      <c r="F9" s="98"/>
      <c r="G9" s="98"/>
      <c r="H9" s="98"/>
      <c r="I9" s="98"/>
      <c r="J9" s="208"/>
      <c r="K9" s="203"/>
      <c r="L9" s="98"/>
    </row>
    <row r="10" spans="1:14">
      <c r="A10" s="60"/>
      <c r="B10" s="70" t="s">
        <v>117</v>
      </c>
      <c r="C10" s="52">
        <v>1077959.21</v>
      </c>
      <c r="D10" s="54"/>
      <c r="E10" s="52"/>
      <c r="F10" s="54"/>
      <c r="G10" s="54"/>
      <c r="H10" s="54"/>
      <c r="I10" s="52">
        <f t="shared" ref="I10:I17" si="0">C10+D10-E10+F10-G10</f>
        <v>1077959.21</v>
      </c>
      <c r="J10" s="133"/>
      <c r="K10" s="203">
        <f t="shared" ref="K10:K17" si="1">I10-J10+H10</f>
        <v>1077959.21</v>
      </c>
      <c r="L10" s="146">
        <f>J10/J19</f>
        <v>0</v>
      </c>
    </row>
    <row r="11" spans="1:14">
      <c r="A11" s="60" t="s">
        <v>27</v>
      </c>
      <c r="B11" s="54" t="s">
        <v>54</v>
      </c>
      <c r="C11" s="52">
        <f>12500+60000+1000</f>
        <v>73500</v>
      </c>
      <c r="D11" s="52"/>
      <c r="E11" s="52"/>
      <c r="F11" s="52"/>
      <c r="G11" s="52"/>
      <c r="H11" s="52"/>
      <c r="I11" s="52">
        <f>C11+D11-E11+F11-G11</f>
        <v>73500</v>
      </c>
      <c r="J11" s="133">
        <f>74597+2295+20427</f>
        <v>97319</v>
      </c>
      <c r="K11" s="189">
        <f t="shared" si="1"/>
        <v>-23819</v>
      </c>
      <c r="L11" s="146">
        <f>J11/J19</f>
        <v>2.6694533354066338E-2</v>
      </c>
      <c r="N11" s="147"/>
    </row>
    <row r="12" spans="1:14">
      <c r="A12" s="148" t="s">
        <v>95</v>
      </c>
      <c r="B12" s="54" t="s">
        <v>96</v>
      </c>
      <c r="C12" s="52">
        <v>4000</v>
      </c>
      <c r="D12" s="52"/>
      <c r="E12" s="52"/>
      <c r="F12" s="52"/>
      <c r="G12" s="52"/>
      <c r="H12" s="52"/>
      <c r="I12" s="52">
        <f t="shared" si="0"/>
        <v>4000</v>
      </c>
      <c r="J12" s="133">
        <f>1854.82+78.84</f>
        <v>1933.6599999999999</v>
      </c>
      <c r="K12" s="189">
        <f t="shared" si="1"/>
        <v>2066.34</v>
      </c>
      <c r="L12" s="146">
        <f>J12/J19</f>
        <v>5.3040158001442582E-4</v>
      </c>
      <c r="N12" s="147"/>
    </row>
    <row r="13" spans="1:14">
      <c r="A13" s="60" t="s">
        <v>97</v>
      </c>
      <c r="B13" s="54" t="s">
        <v>133</v>
      </c>
      <c r="C13" s="52">
        <v>3172620</v>
      </c>
      <c r="D13" s="52"/>
      <c r="E13" s="52"/>
      <c r="F13" s="52"/>
      <c r="G13" s="52"/>
      <c r="H13" s="52"/>
      <c r="I13" s="52">
        <f t="shared" si="0"/>
        <v>3172620</v>
      </c>
      <c r="J13" s="133">
        <f>1049646.93+201855.31+0.02+321134.75</f>
        <v>1572637.01</v>
      </c>
      <c r="K13" s="189">
        <f t="shared" si="1"/>
        <v>1599982.99</v>
      </c>
      <c r="L13" s="146">
        <f>J13/J19</f>
        <v>0.43137322739942002</v>
      </c>
      <c r="N13" s="149"/>
    </row>
    <row r="14" spans="1:14">
      <c r="A14" s="60" t="s">
        <v>97</v>
      </c>
      <c r="B14" s="54" t="s">
        <v>134</v>
      </c>
      <c r="C14" s="52">
        <v>1828000</v>
      </c>
      <c r="D14" s="52"/>
      <c r="E14" s="52"/>
      <c r="F14" s="202"/>
      <c r="G14" s="52"/>
      <c r="H14" s="52"/>
      <c r="I14" s="52">
        <f t="shared" si="0"/>
        <v>1828000</v>
      </c>
      <c r="J14" s="133">
        <f>1537761.06+326014.9+109987.16</f>
        <v>1973763.1199999999</v>
      </c>
      <c r="K14" s="189">
        <f t="shared" si="1"/>
        <v>-145763.11999999988</v>
      </c>
      <c r="L14" s="146">
        <f>J14/J19</f>
        <v>0.54140183766649919</v>
      </c>
    </row>
    <row r="15" spans="1:14">
      <c r="A15" s="60" t="s">
        <v>97</v>
      </c>
      <c r="B15" s="54" t="s">
        <v>99</v>
      </c>
      <c r="C15" s="52">
        <v>20000</v>
      </c>
      <c r="D15" s="52"/>
      <c r="E15" s="52"/>
      <c r="F15" s="52"/>
      <c r="G15" s="52"/>
      <c r="H15" s="52"/>
      <c r="I15" s="52">
        <f>C15+D15-E15+F15-G15</f>
        <v>20000</v>
      </c>
      <c r="J15" s="133">
        <v>0</v>
      </c>
      <c r="K15" s="203">
        <f>I15-J15+H15</f>
        <v>20000</v>
      </c>
      <c r="L15" s="146">
        <v>0</v>
      </c>
    </row>
    <row r="16" spans="1:14">
      <c r="A16" s="60" t="s">
        <v>97</v>
      </c>
      <c r="B16" s="54" t="s">
        <v>144</v>
      </c>
      <c r="C16" s="52">
        <v>0</v>
      </c>
      <c r="D16" s="52"/>
      <c r="E16" s="52"/>
      <c r="F16" s="52"/>
      <c r="G16" s="52"/>
      <c r="H16" s="52"/>
      <c r="I16" s="52">
        <f t="shared" si="0"/>
        <v>0</v>
      </c>
      <c r="J16" s="133">
        <v>0</v>
      </c>
      <c r="K16" s="203">
        <f t="shared" si="1"/>
        <v>0</v>
      </c>
      <c r="L16" s="146">
        <v>0</v>
      </c>
    </row>
    <row r="17" spans="1:14">
      <c r="A17" s="60" t="s">
        <v>97</v>
      </c>
      <c r="B17" s="54" t="s">
        <v>98</v>
      </c>
      <c r="C17" s="52">
        <v>0</v>
      </c>
      <c r="D17" s="52"/>
      <c r="E17" s="52"/>
      <c r="F17" s="52"/>
      <c r="G17" s="52"/>
      <c r="H17" s="52"/>
      <c r="I17" s="52">
        <f t="shared" si="0"/>
        <v>0</v>
      </c>
      <c r="J17" s="133">
        <v>0</v>
      </c>
      <c r="K17" s="203">
        <f t="shared" si="1"/>
        <v>0</v>
      </c>
      <c r="L17" s="146">
        <v>0</v>
      </c>
    </row>
    <row r="18" spans="1:14" ht="18.75" thickBot="1">
      <c r="A18" s="150"/>
      <c r="B18" s="151"/>
      <c r="C18" s="128">
        <v>0</v>
      </c>
      <c r="D18" s="128"/>
      <c r="E18" s="128"/>
      <c r="F18" s="128"/>
      <c r="G18" s="128"/>
      <c r="H18" s="128"/>
      <c r="I18" s="128">
        <f>H18</f>
        <v>0</v>
      </c>
      <c r="J18" s="133">
        <v>0</v>
      </c>
      <c r="K18" s="204">
        <f>-J18+H18</f>
        <v>0</v>
      </c>
      <c r="L18" s="152">
        <f>J18/J19</f>
        <v>0</v>
      </c>
      <c r="N18" s="42"/>
    </row>
    <row r="19" spans="1:14" ht="18.75" customHeight="1" thickBot="1">
      <c r="A19" s="68"/>
      <c r="B19" s="67" t="s">
        <v>6</v>
      </c>
      <c r="C19" s="11">
        <f t="shared" ref="C19:I19" si="2">SUM(C10:C18)</f>
        <v>6176079.21</v>
      </c>
      <c r="D19" s="63">
        <f t="shared" si="2"/>
        <v>0</v>
      </c>
      <c r="E19" s="63">
        <f t="shared" si="2"/>
        <v>0</v>
      </c>
      <c r="F19" s="63">
        <f t="shared" si="2"/>
        <v>0</v>
      </c>
      <c r="G19" s="63">
        <f t="shared" si="2"/>
        <v>0</v>
      </c>
      <c r="H19" s="63">
        <f t="shared" si="2"/>
        <v>0</v>
      </c>
      <c r="I19" s="11">
        <f t="shared" si="2"/>
        <v>6176079.21</v>
      </c>
      <c r="J19" s="209">
        <f>SUM(J10:J18)</f>
        <v>3645652.79</v>
      </c>
      <c r="K19" s="11">
        <f>SUM(K10:K18)</f>
        <v>2530426.42</v>
      </c>
      <c r="L19" s="12">
        <f>SUM(L18:L18)</f>
        <v>0</v>
      </c>
    </row>
    <row r="20" spans="1:14">
      <c r="A20" s="141"/>
      <c r="B20" s="142"/>
      <c r="C20" s="157"/>
      <c r="D20" s="157"/>
      <c r="E20" s="98"/>
      <c r="F20" s="98"/>
      <c r="G20" s="98"/>
      <c r="H20" s="98"/>
      <c r="I20" s="98"/>
      <c r="J20" s="210"/>
      <c r="K20" s="98"/>
      <c r="L20" s="98"/>
    </row>
    <row r="21" spans="1:14">
      <c r="A21" s="222" t="s">
        <v>5</v>
      </c>
      <c r="B21" s="223" t="s">
        <v>115</v>
      </c>
      <c r="C21" s="98"/>
      <c r="D21" s="98"/>
      <c r="E21" s="98"/>
      <c r="F21" s="98"/>
      <c r="G21" s="98"/>
      <c r="H21" s="98"/>
      <c r="I21" s="98"/>
      <c r="J21" s="210"/>
      <c r="K21" s="98"/>
      <c r="L21" s="98"/>
    </row>
    <row r="22" spans="1:14">
      <c r="A22" s="222"/>
      <c r="B22" s="223"/>
      <c r="C22" s="98"/>
      <c r="D22" s="98"/>
      <c r="E22" s="98"/>
      <c r="F22" s="98"/>
      <c r="G22" s="98"/>
      <c r="H22" s="98"/>
      <c r="I22" s="98"/>
      <c r="J22" s="210"/>
      <c r="K22" s="98"/>
      <c r="L22" s="98"/>
    </row>
    <row r="23" spans="1:14">
      <c r="A23" s="59">
        <v>0</v>
      </c>
      <c r="B23" s="59" t="s">
        <v>9</v>
      </c>
      <c r="C23" s="76"/>
      <c r="D23" s="76"/>
      <c r="E23" s="76"/>
      <c r="F23" s="76"/>
      <c r="G23" s="76"/>
      <c r="H23" s="76"/>
      <c r="I23" s="76"/>
      <c r="J23" s="206"/>
      <c r="K23" s="122"/>
      <c r="L23" s="132"/>
    </row>
    <row r="24" spans="1:14">
      <c r="A24" s="53" t="s">
        <v>14</v>
      </c>
      <c r="B24" s="54" t="s">
        <v>84</v>
      </c>
      <c r="C24" s="76">
        <v>574724</v>
      </c>
      <c r="D24" s="76"/>
      <c r="E24" s="76"/>
      <c r="F24" s="76"/>
      <c r="G24" s="76"/>
      <c r="H24" s="76"/>
      <c r="I24" s="76">
        <f t="shared" ref="I24:I105" si="3">C24+D24-E24+F24-G24</f>
        <v>574724</v>
      </c>
      <c r="J24" s="206">
        <v>321738.36</v>
      </c>
      <c r="K24" s="122">
        <f>I24-J24</f>
        <v>252985.64</v>
      </c>
      <c r="L24" s="132">
        <f t="shared" ref="L24:L35" si="4">J24/$J$116</f>
        <v>9.095565685299295E-2</v>
      </c>
      <c r="N24" s="149"/>
    </row>
    <row r="25" spans="1:14">
      <c r="A25" s="53" t="s">
        <v>34</v>
      </c>
      <c r="B25" s="54" t="s">
        <v>35</v>
      </c>
      <c r="C25" s="76">
        <v>4500</v>
      </c>
      <c r="D25" s="76"/>
      <c r="E25" s="76"/>
      <c r="F25" s="76"/>
      <c r="G25" s="76"/>
      <c r="H25" s="76"/>
      <c r="I25" s="76">
        <f t="shared" si="3"/>
        <v>4500</v>
      </c>
      <c r="J25" s="206">
        <v>3000</v>
      </c>
      <c r="K25" s="122">
        <f t="shared" ref="K25:K55" si="5">I25-J25</f>
        <v>1500</v>
      </c>
      <c r="L25" s="132">
        <f t="shared" si="4"/>
        <v>8.4810207448990187E-4</v>
      </c>
      <c r="N25" s="149"/>
    </row>
    <row r="26" spans="1:14">
      <c r="A26" s="53" t="s">
        <v>15</v>
      </c>
      <c r="B26" s="54" t="s">
        <v>43</v>
      </c>
      <c r="C26" s="76">
        <v>62500</v>
      </c>
      <c r="D26" s="76">
        <v>36000</v>
      </c>
      <c r="E26" s="76"/>
      <c r="F26" s="76"/>
      <c r="G26" s="76"/>
      <c r="H26" s="76"/>
      <c r="I26" s="76">
        <f t="shared" si="3"/>
        <v>98500</v>
      </c>
      <c r="J26" s="206">
        <v>48116.67</v>
      </c>
      <c r="K26" s="122">
        <f t="shared" si="5"/>
        <v>50383.33</v>
      </c>
      <c r="L26" s="132">
        <f t="shared" si="4"/>
        <v>1.3602615881515342E-2</v>
      </c>
      <c r="N26" s="149"/>
    </row>
    <row r="27" spans="1:14">
      <c r="A27" s="53" t="s">
        <v>135</v>
      </c>
      <c r="B27" s="54" t="s">
        <v>136</v>
      </c>
      <c r="C27" s="76">
        <v>357550</v>
      </c>
      <c r="D27" s="76"/>
      <c r="E27" s="76">
        <v>357550</v>
      </c>
      <c r="F27" s="76"/>
      <c r="G27" s="76"/>
      <c r="H27" s="76"/>
      <c r="I27" s="76">
        <f t="shared" si="3"/>
        <v>0</v>
      </c>
      <c r="J27" s="206">
        <v>0</v>
      </c>
      <c r="K27" s="122">
        <f t="shared" si="5"/>
        <v>0</v>
      </c>
      <c r="L27" s="132">
        <f t="shared" si="4"/>
        <v>0</v>
      </c>
      <c r="N27" s="149"/>
    </row>
    <row r="28" spans="1:14">
      <c r="A28" s="53" t="s">
        <v>137</v>
      </c>
      <c r="B28" s="54" t="s">
        <v>138</v>
      </c>
      <c r="C28" s="76">
        <v>5750</v>
      </c>
      <c r="D28" s="76"/>
      <c r="E28" s="76"/>
      <c r="F28" s="76"/>
      <c r="G28" s="76"/>
      <c r="H28" s="76"/>
      <c r="I28" s="76">
        <f t="shared" si="3"/>
        <v>5750</v>
      </c>
      <c r="J28" s="206">
        <v>0</v>
      </c>
      <c r="K28" s="122">
        <f t="shared" si="5"/>
        <v>5750</v>
      </c>
      <c r="L28" s="132">
        <f t="shared" si="4"/>
        <v>0</v>
      </c>
      <c r="N28" s="149"/>
    </row>
    <row r="29" spans="1:14">
      <c r="A29" s="53" t="s">
        <v>100</v>
      </c>
      <c r="B29" s="54" t="s">
        <v>101</v>
      </c>
      <c r="C29" s="76">
        <v>15400</v>
      </c>
      <c r="D29" s="76"/>
      <c r="E29" s="76"/>
      <c r="F29" s="76"/>
      <c r="G29" s="76"/>
      <c r="H29" s="76"/>
      <c r="I29" s="76">
        <f>C29+D29-E29+F29-G29</f>
        <v>15400</v>
      </c>
      <c r="J29" s="206">
        <v>3750</v>
      </c>
      <c r="K29" s="122">
        <f t="shared" si="5"/>
        <v>11650</v>
      </c>
      <c r="L29" s="132">
        <f t="shared" si="4"/>
        <v>1.0601275931123773E-3</v>
      </c>
      <c r="N29" s="149"/>
    </row>
    <row r="30" spans="1:14">
      <c r="A30" s="53" t="s">
        <v>21</v>
      </c>
      <c r="B30" s="54" t="s">
        <v>22</v>
      </c>
      <c r="C30" s="76">
        <v>37627.240000000005</v>
      </c>
      <c r="D30" s="76"/>
      <c r="E30" s="76"/>
      <c r="F30" s="76"/>
      <c r="G30" s="76"/>
      <c r="H30" s="76"/>
      <c r="I30" s="76">
        <f t="shared" si="3"/>
        <v>37627.240000000005</v>
      </c>
      <c r="J30" s="206">
        <v>16666.300000000003</v>
      </c>
      <c r="K30" s="122">
        <f t="shared" si="5"/>
        <v>20960.940000000002</v>
      </c>
      <c r="L30" s="132">
        <f t="shared" si="4"/>
        <v>4.7115745346903515E-3</v>
      </c>
      <c r="N30" s="149"/>
    </row>
    <row r="31" spans="1:14">
      <c r="A31" s="53" t="s">
        <v>16</v>
      </c>
      <c r="B31" s="54" t="s">
        <v>125</v>
      </c>
      <c r="C31" s="76">
        <v>111250.887308</v>
      </c>
      <c r="D31" s="76"/>
      <c r="E31" s="76"/>
      <c r="F31" s="76"/>
      <c r="G31" s="76"/>
      <c r="H31" s="76"/>
      <c r="I31" s="76">
        <f t="shared" si="3"/>
        <v>111250.887308</v>
      </c>
      <c r="J31" s="206">
        <v>32097.379999999997</v>
      </c>
      <c r="K31" s="122">
        <f t="shared" si="5"/>
        <v>79153.507308</v>
      </c>
      <c r="L31" s="132">
        <f t="shared" si="4"/>
        <v>9.0739515212302276E-3</v>
      </c>
      <c r="N31" s="149"/>
    </row>
    <row r="32" spans="1:14">
      <c r="A32" s="53" t="s">
        <v>17</v>
      </c>
      <c r="B32" s="54" t="s">
        <v>126</v>
      </c>
      <c r="C32" s="76">
        <v>10426.5124</v>
      </c>
      <c r="D32" s="76"/>
      <c r="E32" s="76"/>
      <c r="F32" s="76"/>
      <c r="G32" s="76"/>
      <c r="H32" s="76"/>
      <c r="I32" s="76">
        <f t="shared" si="3"/>
        <v>10426.5124</v>
      </c>
      <c r="J32" s="206">
        <v>3008.1899999999996</v>
      </c>
      <c r="K32" s="122">
        <f t="shared" si="5"/>
        <v>7418.3224</v>
      </c>
      <c r="L32" s="132">
        <f t="shared" si="4"/>
        <v>8.504173931532592E-4</v>
      </c>
      <c r="N32" s="149"/>
    </row>
    <row r="33" spans="1:14">
      <c r="A33" s="53" t="s">
        <v>18</v>
      </c>
      <c r="B33" s="55" t="s">
        <v>82</v>
      </c>
      <c r="C33" s="76">
        <v>78272.833333333328</v>
      </c>
      <c r="D33" s="76"/>
      <c r="E33" s="76"/>
      <c r="F33" s="76"/>
      <c r="G33" s="76"/>
      <c r="H33" s="76"/>
      <c r="I33" s="76">
        <f t="shared" si="3"/>
        <v>78272.833333333328</v>
      </c>
      <c r="J33" s="206">
        <v>0</v>
      </c>
      <c r="K33" s="122">
        <f t="shared" si="5"/>
        <v>78272.833333333328</v>
      </c>
      <c r="L33" s="132">
        <f t="shared" si="4"/>
        <v>0</v>
      </c>
      <c r="N33" s="149"/>
    </row>
    <row r="34" spans="1:14">
      <c r="A34" s="53" t="s">
        <v>19</v>
      </c>
      <c r="B34" s="54" t="s">
        <v>85</v>
      </c>
      <c r="C34" s="76">
        <v>78272.833333333328</v>
      </c>
      <c r="D34" s="76"/>
      <c r="E34" s="76"/>
      <c r="F34" s="76"/>
      <c r="G34" s="76"/>
      <c r="H34" s="76"/>
      <c r="I34" s="76">
        <f t="shared" si="3"/>
        <v>78272.833333333328</v>
      </c>
      <c r="J34" s="206">
        <v>41431.490000000005</v>
      </c>
      <c r="K34" s="122">
        <f t="shared" si="5"/>
        <v>36841.343333333323</v>
      </c>
      <c r="L34" s="132">
        <f t="shared" si="4"/>
        <v>1.1712710872735876E-2</v>
      </c>
      <c r="N34" s="149"/>
    </row>
    <row r="35" spans="1:14">
      <c r="A35" s="53" t="s">
        <v>20</v>
      </c>
      <c r="B35" s="54" t="s">
        <v>83</v>
      </c>
      <c r="C35" s="76">
        <v>4800</v>
      </c>
      <c r="D35" s="76"/>
      <c r="E35" s="76"/>
      <c r="F35" s="76"/>
      <c r="G35" s="76"/>
      <c r="H35" s="76"/>
      <c r="I35" s="76">
        <f t="shared" si="3"/>
        <v>4800</v>
      </c>
      <c r="J35" s="206">
        <v>0</v>
      </c>
      <c r="K35" s="122">
        <f t="shared" si="5"/>
        <v>4800</v>
      </c>
      <c r="L35" s="132">
        <f t="shared" si="4"/>
        <v>0</v>
      </c>
      <c r="N35" s="149"/>
    </row>
    <row r="36" spans="1:14">
      <c r="A36" s="53"/>
      <c r="B36" s="54"/>
      <c r="C36" s="76"/>
      <c r="D36" s="76"/>
      <c r="E36" s="76"/>
      <c r="F36" s="76"/>
      <c r="G36" s="76"/>
      <c r="H36" s="76"/>
      <c r="I36" s="76"/>
      <c r="J36" s="206"/>
      <c r="K36" s="122"/>
      <c r="L36" s="132"/>
      <c r="N36" s="149"/>
    </row>
    <row r="37" spans="1:14">
      <c r="A37" s="59">
        <v>1</v>
      </c>
      <c r="B37" s="59" t="s">
        <v>10</v>
      </c>
      <c r="C37" s="76"/>
      <c r="D37" s="76"/>
      <c r="E37" s="76"/>
      <c r="F37" s="76"/>
      <c r="G37" s="76"/>
      <c r="H37" s="76"/>
      <c r="I37" s="76"/>
      <c r="J37" s="212"/>
      <c r="K37" s="122">
        <f t="shared" si="5"/>
        <v>0</v>
      </c>
      <c r="L37" s="132"/>
      <c r="N37" s="149"/>
    </row>
    <row r="38" spans="1:14">
      <c r="A38" s="60">
        <v>111</v>
      </c>
      <c r="B38" s="54" t="s">
        <v>44</v>
      </c>
      <c r="C38" s="76">
        <v>13125</v>
      </c>
      <c r="D38" s="76"/>
      <c r="E38" s="76"/>
      <c r="F38" s="76"/>
      <c r="G38" s="76"/>
      <c r="H38" s="76"/>
      <c r="I38" s="76">
        <f t="shared" si="3"/>
        <v>13125</v>
      </c>
      <c r="J38" s="206">
        <v>5753.51</v>
      </c>
      <c r="K38" s="122">
        <f t="shared" si="5"/>
        <v>7371.49</v>
      </c>
      <c r="L38" s="132">
        <f t="shared" ref="L38:L70" si="6">J38/$J$116</f>
        <v>1.6265212555327984E-3</v>
      </c>
      <c r="N38" s="149"/>
    </row>
    <row r="39" spans="1:14">
      <c r="A39" s="60">
        <v>113</v>
      </c>
      <c r="B39" s="54" t="s">
        <v>53</v>
      </c>
      <c r="C39" s="76">
        <v>24780</v>
      </c>
      <c r="D39" s="76"/>
      <c r="E39" s="76"/>
      <c r="F39" s="76"/>
      <c r="G39" s="76"/>
      <c r="H39" s="76"/>
      <c r="I39" s="76">
        <f t="shared" si="3"/>
        <v>24780</v>
      </c>
      <c r="J39" s="206">
        <v>15717</v>
      </c>
      <c r="K39" s="122">
        <f t="shared" si="5"/>
        <v>9063</v>
      </c>
      <c r="L39" s="132">
        <f t="shared" si="6"/>
        <v>4.443206768252596E-3</v>
      </c>
      <c r="N39" s="149"/>
    </row>
    <row r="40" spans="1:14">
      <c r="A40" s="60">
        <v>114</v>
      </c>
      <c r="B40" s="54" t="s">
        <v>124</v>
      </c>
      <c r="C40" s="76">
        <v>5000</v>
      </c>
      <c r="D40" s="76"/>
      <c r="E40" s="76"/>
      <c r="F40" s="76"/>
      <c r="G40" s="76"/>
      <c r="H40" s="76"/>
      <c r="I40" s="76">
        <f t="shared" si="3"/>
        <v>5000</v>
      </c>
      <c r="J40" s="206">
        <v>40</v>
      </c>
      <c r="K40" s="122">
        <f t="shared" si="5"/>
        <v>4960</v>
      </c>
      <c r="L40" s="132">
        <f t="shared" si="6"/>
        <v>1.1308027659865357E-5</v>
      </c>
      <c r="N40" s="149"/>
    </row>
    <row r="41" spans="1:14">
      <c r="A41" s="60">
        <v>121</v>
      </c>
      <c r="B41" s="54" t="s">
        <v>55</v>
      </c>
      <c r="C41" s="76">
        <v>20000</v>
      </c>
      <c r="D41" s="76">
        <v>30000</v>
      </c>
      <c r="E41" s="76"/>
      <c r="F41" s="76"/>
      <c r="G41" s="76"/>
      <c r="H41" s="76"/>
      <c r="I41" s="76">
        <f t="shared" si="3"/>
        <v>50000</v>
      </c>
      <c r="J41" s="206">
        <v>23224</v>
      </c>
      <c r="K41" s="122">
        <f t="shared" si="5"/>
        <v>26776</v>
      </c>
      <c r="L41" s="132">
        <f t="shared" si="6"/>
        <v>6.5654408593178266E-3</v>
      </c>
      <c r="N41" s="149"/>
    </row>
    <row r="42" spans="1:14">
      <c r="A42" s="60">
        <v>122</v>
      </c>
      <c r="B42" s="54" t="s">
        <v>86</v>
      </c>
      <c r="C42" s="76">
        <v>17950</v>
      </c>
      <c r="D42" s="76">
        <v>10000</v>
      </c>
      <c r="E42" s="76"/>
      <c r="F42" s="76"/>
      <c r="G42" s="76"/>
      <c r="H42" s="76"/>
      <c r="I42" s="76">
        <f t="shared" si="3"/>
        <v>27950</v>
      </c>
      <c r="J42" s="206">
        <v>23814.5</v>
      </c>
      <c r="K42" s="122">
        <f t="shared" si="5"/>
        <v>4135.5</v>
      </c>
      <c r="L42" s="132">
        <f t="shared" si="6"/>
        <v>6.7323756176465889E-3</v>
      </c>
      <c r="M42" s="159"/>
      <c r="N42" s="149"/>
    </row>
    <row r="43" spans="1:14">
      <c r="A43" s="60">
        <v>131</v>
      </c>
      <c r="B43" s="54" t="s">
        <v>56</v>
      </c>
      <c r="C43" s="76">
        <v>1102000</v>
      </c>
      <c r="D43" s="76">
        <v>375000</v>
      </c>
      <c r="E43" s="76"/>
      <c r="F43" s="76">
        <v>365000</v>
      </c>
      <c r="G43" s="76"/>
      <c r="H43" s="76"/>
      <c r="I43" s="76">
        <f t="shared" si="3"/>
        <v>1842000</v>
      </c>
      <c r="J43" s="206">
        <v>1663617.3900000001</v>
      </c>
      <c r="K43" s="122">
        <f t="shared" si="5"/>
        <v>178382.60999999987</v>
      </c>
      <c r="L43" s="132">
        <f t="shared" si="6"/>
        <v>0.47030578653882538</v>
      </c>
      <c r="N43" s="149"/>
    </row>
    <row r="44" spans="1:14">
      <c r="A44" s="60">
        <v>133</v>
      </c>
      <c r="B44" s="54" t="s">
        <v>57</v>
      </c>
      <c r="C44" s="76">
        <v>4546.67</v>
      </c>
      <c r="D44" s="76"/>
      <c r="E44" s="76"/>
      <c r="F44" s="76"/>
      <c r="G44" s="76"/>
      <c r="H44" s="76"/>
      <c r="I44" s="76">
        <f t="shared" si="3"/>
        <v>4546.67</v>
      </c>
      <c r="J44" s="206">
        <v>0</v>
      </c>
      <c r="K44" s="122">
        <f t="shared" si="5"/>
        <v>4546.67</v>
      </c>
      <c r="L44" s="132">
        <f t="shared" si="6"/>
        <v>0</v>
      </c>
      <c r="N44" s="149"/>
    </row>
    <row r="45" spans="1:14">
      <c r="A45" s="60">
        <v>134</v>
      </c>
      <c r="B45" s="54" t="s">
        <v>87</v>
      </c>
      <c r="C45" s="76">
        <v>0</v>
      </c>
      <c r="D45" s="76"/>
      <c r="E45" s="76"/>
      <c r="F45" s="76"/>
      <c r="G45" s="76"/>
      <c r="H45" s="76"/>
      <c r="I45" s="76">
        <f t="shared" si="3"/>
        <v>0</v>
      </c>
      <c r="J45" s="206">
        <v>0</v>
      </c>
      <c r="K45" s="122">
        <f t="shared" si="5"/>
        <v>0</v>
      </c>
      <c r="L45" s="132">
        <f t="shared" si="6"/>
        <v>0</v>
      </c>
      <c r="N45" s="149"/>
    </row>
    <row r="46" spans="1:14">
      <c r="A46" s="60">
        <v>135</v>
      </c>
      <c r="B46" s="54" t="s">
        <v>102</v>
      </c>
      <c r="C46" s="76">
        <v>124000</v>
      </c>
      <c r="D46" s="76"/>
      <c r="E46" s="76"/>
      <c r="F46" s="76">
        <v>70000</v>
      </c>
      <c r="G46" s="76"/>
      <c r="H46" s="76"/>
      <c r="I46" s="76">
        <f>C46+D46-E46+F46-G46</f>
        <v>194000</v>
      </c>
      <c r="J46" s="206">
        <v>142183.49000000002</v>
      </c>
      <c r="K46" s="122">
        <f t="shared" si="5"/>
        <v>51816.50999999998</v>
      </c>
      <c r="L46" s="132">
        <f t="shared" si="6"/>
        <v>4.0195370942404746E-2</v>
      </c>
      <c r="N46" s="149"/>
    </row>
    <row r="47" spans="1:14">
      <c r="A47" s="60">
        <v>141</v>
      </c>
      <c r="B47" s="54" t="s">
        <v>76</v>
      </c>
      <c r="C47" s="76">
        <v>374045.69</v>
      </c>
      <c r="D47" s="76">
        <v>77000</v>
      </c>
      <c r="E47" s="76"/>
      <c r="F47" s="76">
        <v>223000</v>
      </c>
      <c r="G47" s="76"/>
      <c r="H47" s="76"/>
      <c r="I47" s="76">
        <f t="shared" si="3"/>
        <v>674045.69</v>
      </c>
      <c r="J47" s="206">
        <v>500373.26000000007</v>
      </c>
      <c r="K47" s="122">
        <f t="shared" si="5"/>
        <v>173672.42999999988</v>
      </c>
      <c r="L47" s="132">
        <f t="shared" si="6"/>
        <v>0.14145586660842502</v>
      </c>
      <c r="N47" s="149"/>
    </row>
    <row r="48" spans="1:14">
      <c r="A48" s="60">
        <v>142</v>
      </c>
      <c r="B48" s="54" t="s">
        <v>23</v>
      </c>
      <c r="C48" s="76">
        <v>32600</v>
      </c>
      <c r="D48" s="76"/>
      <c r="E48" s="76"/>
      <c r="F48" s="76"/>
      <c r="G48" s="76"/>
      <c r="H48" s="76"/>
      <c r="I48" s="76">
        <f t="shared" si="3"/>
        <v>32600</v>
      </c>
      <c r="J48" s="206">
        <v>0</v>
      </c>
      <c r="K48" s="122">
        <f t="shared" si="5"/>
        <v>32600</v>
      </c>
      <c r="L48" s="132">
        <f t="shared" si="6"/>
        <v>0</v>
      </c>
      <c r="N48" s="149"/>
    </row>
    <row r="49" spans="1:14">
      <c r="A49" s="60">
        <v>143</v>
      </c>
      <c r="B49" s="54" t="s">
        <v>127</v>
      </c>
      <c r="C49" s="76">
        <v>37071.31</v>
      </c>
      <c r="D49" s="76"/>
      <c r="E49" s="76"/>
      <c r="F49" s="76"/>
      <c r="G49" s="76"/>
      <c r="H49" s="76"/>
      <c r="I49" s="76">
        <f t="shared" si="3"/>
        <v>37071.31</v>
      </c>
      <c r="J49" s="206">
        <v>17109.38</v>
      </c>
      <c r="K49" s="122">
        <f t="shared" si="5"/>
        <v>19961.929999999997</v>
      </c>
      <c r="L49" s="132">
        <f t="shared" si="6"/>
        <v>4.8368335570786796E-3</v>
      </c>
      <c r="N49" s="149"/>
    </row>
    <row r="50" spans="1:14">
      <c r="A50" s="60">
        <v>151</v>
      </c>
      <c r="B50" s="54" t="s">
        <v>139</v>
      </c>
      <c r="C50" s="76">
        <v>70560</v>
      </c>
      <c r="D50" s="76"/>
      <c r="E50" s="76"/>
      <c r="F50" s="76"/>
      <c r="G50" s="76"/>
      <c r="H50" s="76"/>
      <c r="I50" s="76">
        <f t="shared" si="3"/>
        <v>70560</v>
      </c>
      <c r="J50" s="206">
        <v>46777.5</v>
      </c>
      <c r="K50" s="122">
        <f t="shared" si="5"/>
        <v>23782.5</v>
      </c>
      <c r="L50" s="132">
        <f t="shared" si="6"/>
        <v>1.3224031596483795E-2</v>
      </c>
      <c r="N50" s="149"/>
    </row>
    <row r="51" spans="1:14">
      <c r="A51" s="60">
        <v>155</v>
      </c>
      <c r="B51" s="54" t="s">
        <v>36</v>
      </c>
      <c r="C51" s="76">
        <v>0</v>
      </c>
      <c r="D51" s="76"/>
      <c r="E51" s="76"/>
      <c r="F51" s="76"/>
      <c r="G51" s="76"/>
      <c r="H51" s="76"/>
      <c r="I51" s="76">
        <f t="shared" si="3"/>
        <v>0</v>
      </c>
      <c r="J51" s="206">
        <v>0</v>
      </c>
      <c r="K51" s="122">
        <f t="shared" si="5"/>
        <v>0</v>
      </c>
      <c r="L51" s="132">
        <f t="shared" si="6"/>
        <v>0</v>
      </c>
      <c r="N51" s="149"/>
    </row>
    <row r="52" spans="1:14">
      <c r="A52" s="60">
        <v>158</v>
      </c>
      <c r="B52" s="54" t="s">
        <v>103</v>
      </c>
      <c r="C52" s="76">
        <v>4000</v>
      </c>
      <c r="D52" s="76">
        <v>2550</v>
      </c>
      <c r="E52" s="76"/>
      <c r="F52" s="76"/>
      <c r="G52" s="76"/>
      <c r="H52" s="76"/>
      <c r="I52" s="76">
        <f>C52+D52-E52+F52-G52</f>
        <v>6550</v>
      </c>
      <c r="J52" s="206">
        <v>5250</v>
      </c>
      <c r="K52" s="122">
        <f t="shared" si="5"/>
        <v>1300</v>
      </c>
      <c r="L52" s="132">
        <f t="shared" si="6"/>
        <v>1.4841786303573282E-3</v>
      </c>
      <c r="N52" s="149"/>
    </row>
    <row r="53" spans="1:14">
      <c r="A53" s="60">
        <v>162</v>
      </c>
      <c r="B53" s="54" t="s">
        <v>58</v>
      </c>
      <c r="C53" s="76">
        <v>1350</v>
      </c>
      <c r="D53" s="76"/>
      <c r="E53" s="76"/>
      <c r="F53" s="76"/>
      <c r="G53" s="76"/>
      <c r="H53" s="76"/>
      <c r="I53" s="76">
        <f t="shared" si="3"/>
        <v>1350</v>
      </c>
      <c r="J53" s="206">
        <v>0</v>
      </c>
      <c r="K53" s="122">
        <f t="shared" si="5"/>
        <v>1350</v>
      </c>
      <c r="L53" s="132">
        <f t="shared" si="6"/>
        <v>0</v>
      </c>
      <c r="N53" s="149"/>
    </row>
    <row r="54" spans="1:14">
      <c r="A54" s="60">
        <v>164</v>
      </c>
      <c r="B54" s="54" t="s">
        <v>45</v>
      </c>
      <c r="C54" s="76">
        <v>12500</v>
      </c>
      <c r="D54" s="76"/>
      <c r="E54" s="76"/>
      <c r="F54" s="76"/>
      <c r="G54" s="76"/>
      <c r="H54" s="76"/>
      <c r="I54" s="76">
        <f t="shared" si="3"/>
        <v>12500</v>
      </c>
      <c r="J54" s="206">
        <v>5250</v>
      </c>
      <c r="K54" s="122">
        <f t="shared" si="5"/>
        <v>7250</v>
      </c>
      <c r="L54" s="132">
        <f t="shared" si="6"/>
        <v>1.4841786303573282E-3</v>
      </c>
      <c r="N54" s="149"/>
    </row>
    <row r="55" spans="1:14">
      <c r="A55" s="60">
        <v>165</v>
      </c>
      <c r="B55" s="54" t="s">
        <v>104</v>
      </c>
      <c r="C55" s="76">
        <v>6900</v>
      </c>
      <c r="D55" s="76"/>
      <c r="E55" s="76"/>
      <c r="F55" s="76"/>
      <c r="G55" s="76"/>
      <c r="H55" s="76"/>
      <c r="I55" s="76">
        <f>C55+D55-E55+F55-G55</f>
        <v>6900</v>
      </c>
      <c r="J55" s="206">
        <v>948.60000000000014</v>
      </c>
      <c r="K55" s="122">
        <f t="shared" si="5"/>
        <v>5951.4</v>
      </c>
      <c r="L55" s="132">
        <f t="shared" si="6"/>
        <v>2.6816987595370699E-4</v>
      </c>
      <c r="N55" s="149"/>
    </row>
    <row r="56" spans="1:14">
      <c r="A56" s="60">
        <v>168</v>
      </c>
      <c r="B56" s="54" t="s">
        <v>59</v>
      </c>
      <c r="C56" s="76">
        <v>5500</v>
      </c>
      <c r="D56" s="76"/>
      <c r="E56" s="76"/>
      <c r="F56" s="76"/>
      <c r="G56" s="76"/>
      <c r="H56" s="76"/>
      <c r="I56" s="76">
        <f t="shared" si="3"/>
        <v>5500</v>
      </c>
      <c r="J56" s="206">
        <v>1440</v>
      </c>
      <c r="K56" s="122">
        <f t="shared" ref="K56:K105" si="7">I56-J56</f>
        <v>4060</v>
      </c>
      <c r="L56" s="132">
        <f t="shared" si="6"/>
        <v>4.0708899575515287E-4</v>
      </c>
      <c r="N56" s="149"/>
    </row>
    <row r="57" spans="1:14">
      <c r="A57" s="60">
        <v>174</v>
      </c>
      <c r="B57" s="54" t="s">
        <v>46</v>
      </c>
      <c r="C57" s="76">
        <v>5000</v>
      </c>
      <c r="D57" s="76"/>
      <c r="E57" s="76"/>
      <c r="F57" s="76"/>
      <c r="G57" s="76"/>
      <c r="H57" s="76"/>
      <c r="I57" s="76">
        <f t="shared" si="3"/>
        <v>5000</v>
      </c>
      <c r="J57" s="206">
        <v>590</v>
      </c>
      <c r="K57" s="122">
        <f t="shared" si="7"/>
        <v>4410</v>
      </c>
      <c r="L57" s="132">
        <f t="shared" si="6"/>
        <v>1.6679340798301403E-4</v>
      </c>
      <c r="N57" s="149"/>
    </row>
    <row r="58" spans="1:14">
      <c r="A58" s="60">
        <v>182</v>
      </c>
      <c r="B58" s="54" t="s">
        <v>61</v>
      </c>
      <c r="C58" s="76">
        <v>0</v>
      </c>
      <c r="D58" s="76"/>
      <c r="E58" s="76"/>
      <c r="F58" s="76"/>
      <c r="G58" s="76"/>
      <c r="H58" s="76"/>
      <c r="I58" s="76">
        <f t="shared" si="3"/>
        <v>0</v>
      </c>
      <c r="J58" s="206">
        <v>0</v>
      </c>
      <c r="K58" s="122">
        <f t="shared" si="7"/>
        <v>0</v>
      </c>
      <c r="L58" s="132">
        <f t="shared" si="6"/>
        <v>0</v>
      </c>
      <c r="N58" s="149"/>
    </row>
    <row r="59" spans="1:14">
      <c r="A59" s="60">
        <v>183</v>
      </c>
      <c r="B59" s="54" t="s">
        <v>105</v>
      </c>
      <c r="C59" s="76">
        <v>160000</v>
      </c>
      <c r="D59" s="76"/>
      <c r="E59" s="76"/>
      <c r="F59" s="76"/>
      <c r="G59" s="76">
        <v>75000</v>
      </c>
      <c r="H59" s="76"/>
      <c r="I59" s="76">
        <f>C59+D59-E59+F59-G59</f>
        <v>85000</v>
      </c>
      <c r="J59" s="206">
        <v>30942</v>
      </c>
      <c r="K59" s="122">
        <f t="shared" si="7"/>
        <v>54058</v>
      </c>
      <c r="L59" s="132">
        <f t="shared" si="6"/>
        <v>8.7473247962888481E-3</v>
      </c>
      <c r="N59" s="149"/>
    </row>
    <row r="60" spans="1:14">
      <c r="A60" s="60">
        <v>184</v>
      </c>
      <c r="B60" s="54" t="s">
        <v>106</v>
      </c>
      <c r="C60" s="76">
        <v>42000</v>
      </c>
      <c r="D60" s="76"/>
      <c r="E60" s="76"/>
      <c r="F60" s="76"/>
      <c r="G60" s="76"/>
      <c r="H60" s="76"/>
      <c r="I60" s="76">
        <f t="shared" si="3"/>
        <v>42000</v>
      </c>
      <c r="J60" s="206">
        <v>23865.47</v>
      </c>
      <c r="K60" s="122">
        <f t="shared" si="7"/>
        <v>18134.53</v>
      </c>
      <c r="L60" s="132">
        <f t="shared" si="6"/>
        <v>6.7467848718921726E-3</v>
      </c>
      <c r="N60" s="149"/>
    </row>
    <row r="61" spans="1:14">
      <c r="A61" s="60">
        <v>185</v>
      </c>
      <c r="B61" s="54" t="s">
        <v>107</v>
      </c>
      <c r="C61" s="76">
        <v>69000</v>
      </c>
      <c r="D61" s="76"/>
      <c r="E61" s="76"/>
      <c r="F61" s="76"/>
      <c r="G61" s="76">
        <v>40000</v>
      </c>
      <c r="H61" s="76"/>
      <c r="I61" s="76">
        <f>C61+D61-E61+F61-G61</f>
        <v>29000</v>
      </c>
      <c r="J61" s="206">
        <v>0</v>
      </c>
      <c r="K61" s="122">
        <f t="shared" si="7"/>
        <v>29000</v>
      </c>
      <c r="L61" s="132">
        <f t="shared" si="6"/>
        <v>0</v>
      </c>
      <c r="N61" s="149"/>
    </row>
    <row r="62" spans="1:14">
      <c r="A62" s="60">
        <v>186</v>
      </c>
      <c r="B62" s="54" t="s">
        <v>47</v>
      </c>
      <c r="C62" s="76">
        <v>2000</v>
      </c>
      <c r="D62" s="76"/>
      <c r="E62" s="76"/>
      <c r="F62" s="76"/>
      <c r="G62" s="76"/>
      <c r="H62" s="76"/>
      <c r="I62" s="76">
        <f t="shared" si="3"/>
        <v>2000</v>
      </c>
      <c r="J62" s="206">
        <v>1055</v>
      </c>
      <c r="K62" s="122">
        <f t="shared" si="7"/>
        <v>945</v>
      </c>
      <c r="L62" s="132">
        <f t="shared" si="6"/>
        <v>2.982492295289488E-4</v>
      </c>
      <c r="N62" s="149"/>
    </row>
    <row r="63" spans="1:14">
      <c r="A63" s="60">
        <v>187</v>
      </c>
      <c r="B63" s="54" t="s">
        <v>108</v>
      </c>
      <c r="C63" s="76">
        <v>51600</v>
      </c>
      <c r="D63" s="76"/>
      <c r="E63" s="76"/>
      <c r="F63" s="76"/>
      <c r="G63" s="76">
        <v>30000</v>
      </c>
      <c r="H63" s="76"/>
      <c r="I63" s="76">
        <f>C63+D63-E63+F63-G63</f>
        <v>21600</v>
      </c>
      <c r="J63" s="206">
        <v>3200</v>
      </c>
      <c r="K63" s="122">
        <f t="shared" si="7"/>
        <v>18400</v>
      </c>
      <c r="L63" s="132">
        <f t="shared" si="6"/>
        <v>9.0464221278922861E-4</v>
      </c>
      <c r="N63" s="149"/>
    </row>
    <row r="64" spans="1:14">
      <c r="A64" s="60">
        <v>188</v>
      </c>
      <c r="B64" s="54" t="s">
        <v>109</v>
      </c>
      <c r="C64" s="76">
        <v>0</v>
      </c>
      <c r="D64" s="76"/>
      <c r="E64" s="76"/>
      <c r="F64" s="76"/>
      <c r="G64" s="76"/>
      <c r="H64" s="76"/>
      <c r="I64" s="76">
        <f t="shared" si="3"/>
        <v>0</v>
      </c>
      <c r="J64" s="206">
        <v>0</v>
      </c>
      <c r="K64" s="122">
        <f t="shared" si="7"/>
        <v>0</v>
      </c>
      <c r="L64" s="132">
        <f t="shared" si="6"/>
        <v>0</v>
      </c>
      <c r="N64" s="149"/>
    </row>
    <row r="65" spans="1:14">
      <c r="A65" s="60">
        <v>189</v>
      </c>
      <c r="B65" s="54" t="s">
        <v>110</v>
      </c>
      <c r="C65" s="76">
        <v>0</v>
      </c>
      <c r="D65" s="76">
        <v>275000</v>
      </c>
      <c r="E65" s="76"/>
      <c r="F65" s="76"/>
      <c r="G65" s="76">
        <v>10000</v>
      </c>
      <c r="H65" s="76"/>
      <c r="I65" s="76">
        <f>C65+D65-E65+F65-G65</f>
        <v>265000</v>
      </c>
      <c r="J65" s="206">
        <v>108179.02</v>
      </c>
      <c r="K65" s="122">
        <f t="shared" si="7"/>
        <v>156820.97999999998</v>
      </c>
      <c r="L65" s="132">
        <f t="shared" si="6"/>
        <v>3.0582283759428196E-2</v>
      </c>
      <c r="N65" s="149"/>
    </row>
    <row r="66" spans="1:14">
      <c r="A66" s="60">
        <v>191</v>
      </c>
      <c r="B66" s="54" t="s">
        <v>111</v>
      </c>
      <c r="C66" s="76">
        <v>9000</v>
      </c>
      <c r="D66" s="76">
        <v>4000</v>
      </c>
      <c r="E66" s="76"/>
      <c r="F66" s="205"/>
      <c r="G66" s="76"/>
      <c r="H66" s="76"/>
      <c r="I66" s="76">
        <f t="shared" si="3"/>
        <v>13000</v>
      </c>
      <c r="J66" s="206">
        <v>8051.49</v>
      </c>
      <c r="K66" s="122">
        <f t="shared" si="7"/>
        <v>4948.51</v>
      </c>
      <c r="L66" s="132">
        <f t="shared" si="6"/>
        <v>2.2761617905782332E-3</v>
      </c>
      <c r="N66" s="149"/>
    </row>
    <row r="67" spans="1:14">
      <c r="A67" s="60">
        <v>194</v>
      </c>
      <c r="B67" s="54" t="s">
        <v>112</v>
      </c>
      <c r="C67" s="76">
        <v>1080</v>
      </c>
      <c r="D67" s="76">
        <v>5000</v>
      </c>
      <c r="E67" s="76"/>
      <c r="F67" s="76"/>
      <c r="G67" s="76"/>
      <c r="H67" s="76"/>
      <c r="I67" s="206">
        <f>C67+D67-E67+F67-G67</f>
        <v>6080</v>
      </c>
      <c r="J67" s="206">
        <v>1012.94</v>
      </c>
      <c r="K67" s="122">
        <f t="shared" si="7"/>
        <v>5067.0599999999995</v>
      </c>
      <c r="L67" s="132">
        <f t="shared" si="6"/>
        <v>2.8635883844460038E-4</v>
      </c>
      <c r="N67" s="149"/>
    </row>
    <row r="68" spans="1:14">
      <c r="A68" s="60">
        <v>195</v>
      </c>
      <c r="B68" s="54" t="s">
        <v>37</v>
      </c>
      <c r="C68" s="76">
        <v>10000</v>
      </c>
      <c r="D68" s="76"/>
      <c r="E68" s="76"/>
      <c r="F68" s="76"/>
      <c r="G68" s="76"/>
      <c r="H68" s="76"/>
      <c r="I68" s="76">
        <f t="shared" si="3"/>
        <v>10000</v>
      </c>
      <c r="J68" s="206">
        <v>5440.68</v>
      </c>
      <c r="K68" s="122">
        <f t="shared" si="7"/>
        <v>4559.32</v>
      </c>
      <c r="L68" s="132">
        <f t="shared" si="6"/>
        <v>1.5380839982119066E-3</v>
      </c>
      <c r="N68" s="149"/>
    </row>
    <row r="69" spans="1:14">
      <c r="A69" s="60">
        <v>196</v>
      </c>
      <c r="B69" s="54" t="s">
        <v>113</v>
      </c>
      <c r="C69" s="76">
        <v>31300</v>
      </c>
      <c r="D69" s="76"/>
      <c r="E69" s="76"/>
      <c r="F69" s="76"/>
      <c r="G69" s="76"/>
      <c r="H69" s="76"/>
      <c r="I69" s="76">
        <f>C69+D69-E69+F69-G69</f>
        <v>31300</v>
      </c>
      <c r="J69" s="206">
        <v>6412.5</v>
      </c>
      <c r="K69" s="122">
        <f t="shared" si="7"/>
        <v>24887.5</v>
      </c>
      <c r="L69" s="132">
        <f t="shared" si="6"/>
        <v>1.8128181842221652E-3</v>
      </c>
      <c r="N69" s="149"/>
    </row>
    <row r="70" spans="1:14">
      <c r="A70" s="60">
        <v>199</v>
      </c>
      <c r="B70" s="54" t="s">
        <v>60</v>
      </c>
      <c r="C70" s="76">
        <v>26043.75</v>
      </c>
      <c r="D70" s="76"/>
      <c r="E70" s="76"/>
      <c r="F70" s="76"/>
      <c r="G70" s="76"/>
      <c r="H70" s="76"/>
      <c r="I70" s="76">
        <f t="shared" si="3"/>
        <v>26043.75</v>
      </c>
      <c r="J70" s="206">
        <v>2173.5</v>
      </c>
      <c r="K70" s="122">
        <f t="shared" si="7"/>
        <v>23870.25</v>
      </c>
      <c r="L70" s="132">
        <f t="shared" si="6"/>
        <v>6.1444995296793393E-4</v>
      </c>
      <c r="N70" s="149"/>
    </row>
    <row r="71" spans="1:14">
      <c r="A71" s="60"/>
      <c r="B71" s="54"/>
      <c r="C71" s="76"/>
      <c r="D71" s="76"/>
      <c r="E71" s="76"/>
      <c r="F71" s="76"/>
      <c r="G71" s="76"/>
      <c r="H71" s="76"/>
      <c r="I71" s="76"/>
      <c r="J71" s="206"/>
      <c r="K71" s="122"/>
      <c r="L71" s="132"/>
      <c r="N71" s="149"/>
    </row>
    <row r="72" spans="1:14">
      <c r="A72" s="59">
        <v>2</v>
      </c>
      <c r="B72" s="59" t="s">
        <v>11</v>
      </c>
      <c r="C72" s="76"/>
      <c r="D72" s="76"/>
      <c r="E72" s="76"/>
      <c r="F72" s="76"/>
      <c r="G72" s="76"/>
      <c r="H72" s="76"/>
      <c r="I72" s="76"/>
      <c r="J72" s="212"/>
      <c r="K72" s="122">
        <f t="shared" si="7"/>
        <v>0</v>
      </c>
      <c r="L72" s="132">
        <f t="shared" ref="L72:L98" si="8">J72/$J$116</f>
        <v>0</v>
      </c>
      <c r="N72" s="149"/>
    </row>
    <row r="73" spans="1:14">
      <c r="A73" s="60">
        <v>211</v>
      </c>
      <c r="B73" s="54" t="s">
        <v>24</v>
      </c>
      <c r="C73" s="76">
        <v>66744.479999999996</v>
      </c>
      <c r="D73" s="76"/>
      <c r="E73" s="76"/>
      <c r="F73" s="76"/>
      <c r="G73" s="76"/>
      <c r="H73" s="76"/>
      <c r="I73" s="76">
        <f t="shared" si="3"/>
        <v>66744.479999999996</v>
      </c>
      <c r="J73" s="206">
        <v>52011.95</v>
      </c>
      <c r="K73" s="122">
        <f t="shared" si="7"/>
        <v>14732.529999999999</v>
      </c>
      <c r="L73" s="132">
        <f t="shared" si="8"/>
        <v>1.4703814231088349E-2</v>
      </c>
      <c r="N73" s="149"/>
    </row>
    <row r="74" spans="1:14">
      <c r="A74" s="60">
        <v>219</v>
      </c>
      <c r="B74" s="54" t="s">
        <v>25</v>
      </c>
      <c r="C74" s="76">
        <v>0</v>
      </c>
      <c r="D74" s="76"/>
      <c r="E74" s="76"/>
      <c r="F74" s="76"/>
      <c r="G74" s="76"/>
      <c r="H74" s="76"/>
      <c r="I74" s="76">
        <f t="shared" si="3"/>
        <v>0</v>
      </c>
      <c r="J74" s="206">
        <v>0</v>
      </c>
      <c r="K74" s="122">
        <f t="shared" si="7"/>
        <v>0</v>
      </c>
      <c r="L74" s="132">
        <f t="shared" si="8"/>
        <v>0</v>
      </c>
      <c r="N74" s="149"/>
    </row>
    <row r="75" spans="1:14">
      <c r="A75" s="60">
        <v>232</v>
      </c>
      <c r="B75" s="54" t="s">
        <v>62</v>
      </c>
      <c r="C75" s="76">
        <v>1140</v>
      </c>
      <c r="D75" s="76"/>
      <c r="E75" s="76"/>
      <c r="F75" s="76"/>
      <c r="G75" s="76"/>
      <c r="H75" s="76"/>
      <c r="I75" s="76">
        <f t="shared" si="3"/>
        <v>1140</v>
      </c>
      <c r="J75" s="206">
        <v>400</v>
      </c>
      <c r="K75" s="122">
        <f t="shared" si="7"/>
        <v>740</v>
      </c>
      <c r="L75" s="132">
        <f t="shared" si="8"/>
        <v>1.1308027659865358E-4</v>
      </c>
      <c r="N75" s="149"/>
    </row>
    <row r="76" spans="1:14">
      <c r="A76" s="60">
        <v>233</v>
      </c>
      <c r="B76" s="54" t="s">
        <v>75</v>
      </c>
      <c r="C76" s="76">
        <v>58000</v>
      </c>
      <c r="D76" s="76"/>
      <c r="E76" s="76"/>
      <c r="F76" s="76"/>
      <c r="G76" s="76">
        <v>5000</v>
      </c>
      <c r="H76" s="76"/>
      <c r="I76" s="206">
        <f t="shared" si="3"/>
        <v>53000</v>
      </c>
      <c r="J76" s="206">
        <v>25745</v>
      </c>
      <c r="K76" s="122">
        <f t="shared" si="7"/>
        <v>27255</v>
      </c>
      <c r="L76" s="132">
        <f t="shared" si="8"/>
        <v>7.278129302580841E-3</v>
      </c>
      <c r="N76" s="149"/>
    </row>
    <row r="77" spans="1:14">
      <c r="A77" s="60">
        <v>241</v>
      </c>
      <c r="B77" s="54" t="s">
        <v>63</v>
      </c>
      <c r="C77" s="76">
        <v>3000</v>
      </c>
      <c r="D77" s="76">
        <v>3500</v>
      </c>
      <c r="E77" s="76"/>
      <c r="F77" s="76">
        <v>3250</v>
      </c>
      <c r="G77" s="76"/>
      <c r="H77" s="76"/>
      <c r="I77" s="76">
        <f t="shared" si="3"/>
        <v>9750</v>
      </c>
      <c r="J77" s="206">
        <v>4831.3</v>
      </c>
      <c r="K77" s="122">
        <f t="shared" si="7"/>
        <v>4918.7</v>
      </c>
      <c r="L77" s="132">
        <f t="shared" si="8"/>
        <v>1.3658118508276876E-3</v>
      </c>
      <c r="N77" s="149"/>
    </row>
    <row r="78" spans="1:14">
      <c r="A78" s="60">
        <v>243</v>
      </c>
      <c r="B78" s="54" t="s">
        <v>48</v>
      </c>
      <c r="C78" s="76">
        <v>350</v>
      </c>
      <c r="D78" s="76"/>
      <c r="E78" s="76"/>
      <c r="F78" s="76">
        <v>250</v>
      </c>
      <c r="G78" s="76"/>
      <c r="H78" s="76"/>
      <c r="I78" s="206">
        <f t="shared" si="3"/>
        <v>600</v>
      </c>
      <c r="J78" s="206">
        <v>119.2</v>
      </c>
      <c r="K78" s="122">
        <f t="shared" si="7"/>
        <v>480.8</v>
      </c>
      <c r="L78" s="132">
        <f t="shared" si="8"/>
        <v>3.3697922426398766E-5</v>
      </c>
      <c r="N78" s="149"/>
    </row>
    <row r="79" spans="1:14">
      <c r="A79" s="60">
        <v>244</v>
      </c>
      <c r="B79" s="54" t="s">
        <v>49</v>
      </c>
      <c r="C79" s="76">
        <v>1000</v>
      </c>
      <c r="D79" s="76"/>
      <c r="E79" s="76"/>
      <c r="F79" s="76"/>
      <c r="G79" s="76"/>
      <c r="H79" s="76"/>
      <c r="I79" s="206">
        <f t="shared" si="3"/>
        <v>1000</v>
      </c>
      <c r="J79" s="206">
        <v>500.6</v>
      </c>
      <c r="K79" s="122">
        <f t="shared" si="7"/>
        <v>499.4</v>
      </c>
      <c r="L79" s="132">
        <f t="shared" si="8"/>
        <v>1.4151996616321497E-4</v>
      </c>
      <c r="N79" s="149"/>
    </row>
    <row r="80" spans="1:14">
      <c r="A80" s="60">
        <v>245</v>
      </c>
      <c r="B80" s="54" t="s">
        <v>50</v>
      </c>
      <c r="C80" s="76">
        <v>1305</v>
      </c>
      <c r="D80" s="76"/>
      <c r="E80" s="76"/>
      <c r="F80" s="76"/>
      <c r="G80" s="76"/>
      <c r="H80" s="76"/>
      <c r="I80" s="76">
        <f t="shared" si="3"/>
        <v>1305</v>
      </c>
      <c r="J80" s="206">
        <v>0</v>
      </c>
      <c r="K80" s="122">
        <f t="shared" si="7"/>
        <v>1305</v>
      </c>
      <c r="L80" s="132">
        <f t="shared" si="8"/>
        <v>0</v>
      </c>
      <c r="N80" s="149"/>
    </row>
    <row r="81" spans="1:14">
      <c r="A81" s="60">
        <v>253</v>
      </c>
      <c r="B81" s="54" t="s">
        <v>41</v>
      </c>
      <c r="C81" s="76">
        <v>2500</v>
      </c>
      <c r="D81" s="76"/>
      <c r="E81" s="76"/>
      <c r="F81" s="76">
        <v>3000</v>
      </c>
      <c r="G81" s="76"/>
      <c r="H81" s="76"/>
      <c r="I81" s="206">
        <f t="shared" si="3"/>
        <v>5500</v>
      </c>
      <c r="J81" s="206">
        <v>50</v>
      </c>
      <c r="K81" s="122">
        <f t="shared" si="7"/>
        <v>5450</v>
      </c>
      <c r="L81" s="132">
        <f t="shared" si="8"/>
        <v>1.4135034574831697E-5</v>
      </c>
      <c r="N81" s="149"/>
    </row>
    <row r="82" spans="1:14">
      <c r="A82" s="60">
        <v>254</v>
      </c>
      <c r="B82" s="54" t="s">
        <v>51</v>
      </c>
      <c r="C82" s="76">
        <v>200</v>
      </c>
      <c r="D82" s="76">
        <v>500</v>
      </c>
      <c r="E82" s="76"/>
      <c r="F82" s="76"/>
      <c r="G82" s="76"/>
      <c r="H82" s="76"/>
      <c r="I82" s="76">
        <f t="shared" si="3"/>
        <v>700</v>
      </c>
      <c r="J82" s="206">
        <v>400</v>
      </c>
      <c r="K82" s="122">
        <f t="shared" si="7"/>
        <v>300</v>
      </c>
      <c r="L82" s="132">
        <f t="shared" si="8"/>
        <v>1.1308027659865358E-4</v>
      </c>
      <c r="N82" s="149"/>
    </row>
    <row r="83" spans="1:14">
      <c r="A83" s="60">
        <v>262</v>
      </c>
      <c r="B83" s="54" t="s">
        <v>64</v>
      </c>
      <c r="C83" s="76">
        <v>9770</v>
      </c>
      <c r="D83" s="76"/>
      <c r="E83" s="76"/>
      <c r="F83" s="76"/>
      <c r="G83" s="76"/>
      <c r="H83" s="76"/>
      <c r="I83" s="76">
        <f t="shared" si="3"/>
        <v>9770</v>
      </c>
      <c r="J83" s="206">
        <v>4850.82</v>
      </c>
      <c r="K83" s="122">
        <f t="shared" si="7"/>
        <v>4919.18</v>
      </c>
      <c r="L83" s="132">
        <f t="shared" si="8"/>
        <v>1.3713301683257017E-3</v>
      </c>
      <c r="N83" s="149"/>
    </row>
    <row r="84" spans="1:14">
      <c r="A84" s="60">
        <v>266</v>
      </c>
      <c r="B84" s="54" t="s">
        <v>65</v>
      </c>
      <c r="C84" s="76">
        <v>600</v>
      </c>
      <c r="D84" s="76"/>
      <c r="E84" s="76"/>
      <c r="F84" s="76"/>
      <c r="G84" s="76"/>
      <c r="H84" s="76"/>
      <c r="I84" s="76">
        <f t="shared" si="3"/>
        <v>600</v>
      </c>
      <c r="J84" s="206">
        <v>190</v>
      </c>
      <c r="K84" s="122">
        <f t="shared" si="7"/>
        <v>410</v>
      </c>
      <c r="L84" s="132">
        <f t="shared" si="8"/>
        <v>5.3713131384360448E-5</v>
      </c>
      <c r="N84" s="149"/>
    </row>
    <row r="85" spans="1:14">
      <c r="A85" s="60">
        <v>267</v>
      </c>
      <c r="B85" s="54" t="s">
        <v>93</v>
      </c>
      <c r="C85" s="76">
        <v>15000</v>
      </c>
      <c r="D85" s="76"/>
      <c r="E85" s="76"/>
      <c r="F85" s="76">
        <v>7000</v>
      </c>
      <c r="G85" s="76"/>
      <c r="H85" s="76"/>
      <c r="I85" s="76">
        <f t="shared" si="3"/>
        <v>22000</v>
      </c>
      <c r="J85" s="206">
        <v>15940</v>
      </c>
      <c r="K85" s="122">
        <f t="shared" si="7"/>
        <v>6060</v>
      </c>
      <c r="L85" s="132">
        <f t="shared" si="8"/>
        <v>4.5062490224563453E-3</v>
      </c>
      <c r="N85" s="149"/>
    </row>
    <row r="86" spans="1:14">
      <c r="A86" s="60">
        <v>268</v>
      </c>
      <c r="B86" s="54" t="s">
        <v>66</v>
      </c>
      <c r="C86" s="76">
        <v>1858</v>
      </c>
      <c r="D86" s="76"/>
      <c r="E86" s="76"/>
      <c r="F86" s="76"/>
      <c r="G86" s="76"/>
      <c r="H86" s="76"/>
      <c r="I86" s="76">
        <f t="shared" si="3"/>
        <v>1858</v>
      </c>
      <c r="J86" s="206">
        <v>1631.0500000000002</v>
      </c>
      <c r="K86" s="122">
        <f t="shared" si="7"/>
        <v>226.94999999999982</v>
      </c>
      <c r="L86" s="132">
        <f t="shared" si="8"/>
        <v>4.6109896286558485E-4</v>
      </c>
      <c r="N86" s="149"/>
    </row>
    <row r="87" spans="1:14">
      <c r="A87" s="60">
        <v>269</v>
      </c>
      <c r="B87" s="54" t="s">
        <v>67</v>
      </c>
      <c r="C87" s="76">
        <v>500</v>
      </c>
      <c r="D87" s="76"/>
      <c r="E87" s="76"/>
      <c r="F87" s="76"/>
      <c r="G87" s="76"/>
      <c r="H87" s="76"/>
      <c r="I87" s="76">
        <f t="shared" si="3"/>
        <v>500</v>
      </c>
      <c r="J87" s="206">
        <v>0</v>
      </c>
      <c r="K87" s="122">
        <f t="shared" si="7"/>
        <v>500</v>
      </c>
      <c r="L87" s="132">
        <f t="shared" si="8"/>
        <v>0</v>
      </c>
      <c r="N87" s="149"/>
    </row>
    <row r="88" spans="1:14">
      <c r="A88" s="60">
        <v>271</v>
      </c>
      <c r="B88" s="54" t="s">
        <v>68</v>
      </c>
      <c r="C88" s="76">
        <v>381250</v>
      </c>
      <c r="D88" s="76"/>
      <c r="E88" s="76"/>
      <c r="F88" s="76"/>
      <c r="G88" s="76">
        <v>300760</v>
      </c>
      <c r="H88" s="76"/>
      <c r="I88" s="76">
        <f t="shared" si="3"/>
        <v>80490</v>
      </c>
      <c r="J88" s="206">
        <v>76829.8</v>
      </c>
      <c r="K88" s="122">
        <f t="shared" si="7"/>
        <v>3660.1999999999971</v>
      </c>
      <c r="L88" s="132">
        <f t="shared" si="8"/>
        <v>2.1719837587548089E-2</v>
      </c>
      <c r="N88" s="149"/>
    </row>
    <row r="89" spans="1:14">
      <c r="A89" s="60">
        <v>283</v>
      </c>
      <c r="B89" s="54" t="s">
        <v>69</v>
      </c>
      <c r="C89" s="76">
        <v>1000</v>
      </c>
      <c r="D89" s="76"/>
      <c r="E89" s="76"/>
      <c r="F89" s="76"/>
      <c r="G89" s="76"/>
      <c r="H89" s="76"/>
      <c r="I89" s="76">
        <f t="shared" si="3"/>
        <v>1000</v>
      </c>
      <c r="J89" s="206">
        <v>31.2</v>
      </c>
      <c r="K89" s="122">
        <f t="shared" si="7"/>
        <v>968.8</v>
      </c>
      <c r="L89" s="132">
        <f t="shared" si="8"/>
        <v>8.8202615746949793E-6</v>
      </c>
      <c r="N89" s="149"/>
    </row>
    <row r="90" spans="1:14">
      <c r="A90" s="60">
        <v>284</v>
      </c>
      <c r="B90" s="54" t="s">
        <v>52</v>
      </c>
      <c r="C90" s="76">
        <v>5000</v>
      </c>
      <c r="D90" s="76">
        <v>7000</v>
      </c>
      <c r="E90" s="76"/>
      <c r="F90" s="76"/>
      <c r="G90" s="76"/>
      <c r="H90" s="76"/>
      <c r="I90" s="76">
        <f t="shared" si="3"/>
        <v>12000</v>
      </c>
      <c r="J90" s="206">
        <v>344.23</v>
      </c>
      <c r="K90" s="122">
        <f t="shared" si="7"/>
        <v>11655.77</v>
      </c>
      <c r="L90" s="132">
        <f t="shared" si="8"/>
        <v>9.731405903388631E-5</v>
      </c>
      <c r="N90" s="149"/>
    </row>
    <row r="91" spans="1:14">
      <c r="A91" s="60">
        <v>285</v>
      </c>
      <c r="B91" s="54" t="s">
        <v>128</v>
      </c>
      <c r="C91" s="76">
        <v>1516915</v>
      </c>
      <c r="D91" s="76"/>
      <c r="E91" s="76">
        <v>476000</v>
      </c>
      <c r="F91" s="76"/>
      <c r="G91" s="76">
        <v>310740</v>
      </c>
      <c r="H91" s="76"/>
      <c r="I91" s="76">
        <f t="shared" si="3"/>
        <v>730175</v>
      </c>
      <c r="J91" s="206">
        <v>0</v>
      </c>
      <c r="K91" s="122">
        <f t="shared" si="7"/>
        <v>730175</v>
      </c>
      <c r="L91" s="132">
        <f t="shared" si="8"/>
        <v>0</v>
      </c>
      <c r="N91" s="149"/>
    </row>
    <row r="92" spans="1:14">
      <c r="A92" s="60">
        <v>291</v>
      </c>
      <c r="B92" s="54" t="s">
        <v>70</v>
      </c>
      <c r="C92" s="76">
        <v>6500</v>
      </c>
      <c r="D92" s="76">
        <v>2500</v>
      </c>
      <c r="E92" s="76"/>
      <c r="F92" s="76"/>
      <c r="G92" s="76"/>
      <c r="H92" s="76"/>
      <c r="I92" s="76">
        <f t="shared" si="3"/>
        <v>9000</v>
      </c>
      <c r="J92" s="206">
        <v>5079.2699999999995</v>
      </c>
      <c r="K92" s="122">
        <f t="shared" si="7"/>
        <v>3920.7300000000005</v>
      </c>
      <c r="L92" s="132">
        <f t="shared" si="8"/>
        <v>1.4359131412981078E-3</v>
      </c>
      <c r="N92" s="149"/>
    </row>
    <row r="93" spans="1:14">
      <c r="A93" s="60">
        <v>292</v>
      </c>
      <c r="B93" s="54" t="s">
        <v>71</v>
      </c>
      <c r="C93" s="76">
        <v>1300</v>
      </c>
      <c r="D93" s="76">
        <v>500</v>
      </c>
      <c r="E93" s="76"/>
      <c r="F93" s="76"/>
      <c r="G93" s="76"/>
      <c r="H93" s="76"/>
      <c r="I93" s="76">
        <f t="shared" si="3"/>
        <v>1800</v>
      </c>
      <c r="J93" s="206">
        <v>777.31</v>
      </c>
      <c r="K93" s="122">
        <f t="shared" si="7"/>
        <v>1022.69</v>
      </c>
      <c r="L93" s="132">
        <f t="shared" si="8"/>
        <v>2.1974607450724851E-4</v>
      </c>
      <c r="N93" s="149"/>
    </row>
    <row r="94" spans="1:14">
      <c r="A94" s="60">
        <v>294</v>
      </c>
      <c r="B94" s="54" t="s">
        <v>72</v>
      </c>
      <c r="C94" s="76">
        <v>65000</v>
      </c>
      <c r="D94" s="98"/>
      <c r="E94" s="98"/>
      <c r="F94" s="76"/>
      <c r="G94" s="76"/>
      <c r="H94" s="76"/>
      <c r="I94" s="76">
        <f t="shared" si="3"/>
        <v>65000</v>
      </c>
      <c r="J94" s="206">
        <v>20725.95</v>
      </c>
      <c r="K94" s="122">
        <f t="shared" si="7"/>
        <v>44274.05</v>
      </c>
      <c r="L94" s="132">
        <f t="shared" si="8"/>
        <v>5.8592403969246606E-3</v>
      </c>
      <c r="N94" s="149"/>
    </row>
    <row r="95" spans="1:14">
      <c r="A95" s="60">
        <v>296</v>
      </c>
      <c r="B95" s="54" t="s">
        <v>114</v>
      </c>
      <c r="C95" s="76">
        <v>800</v>
      </c>
      <c r="D95" s="76"/>
      <c r="E95" s="76"/>
      <c r="F95" s="76"/>
      <c r="G95" s="76"/>
      <c r="H95" s="76"/>
      <c r="I95" s="76">
        <f>C95+D95-E95+F95-G95</f>
        <v>800</v>
      </c>
      <c r="J95" s="206">
        <v>0</v>
      </c>
      <c r="K95" s="122">
        <f t="shared" si="7"/>
        <v>800</v>
      </c>
      <c r="L95" s="132">
        <f t="shared" si="8"/>
        <v>0</v>
      </c>
      <c r="N95" s="149"/>
    </row>
    <row r="96" spans="1:14">
      <c r="A96" s="60">
        <v>297</v>
      </c>
      <c r="B96" s="54" t="s">
        <v>73</v>
      </c>
      <c r="C96" s="76">
        <v>800</v>
      </c>
      <c r="D96" s="76"/>
      <c r="E96" s="76"/>
      <c r="F96" s="76"/>
      <c r="G96" s="76"/>
      <c r="H96" s="76"/>
      <c r="I96" s="76">
        <f t="shared" si="3"/>
        <v>800</v>
      </c>
      <c r="J96" s="206">
        <v>0</v>
      </c>
      <c r="K96" s="122">
        <f t="shared" si="7"/>
        <v>800</v>
      </c>
      <c r="L96" s="132">
        <f t="shared" si="8"/>
        <v>0</v>
      </c>
      <c r="N96" s="149"/>
    </row>
    <row r="97" spans="1:14">
      <c r="A97" s="60">
        <v>298</v>
      </c>
      <c r="B97" s="54" t="s">
        <v>26</v>
      </c>
      <c r="C97" s="76">
        <v>20000</v>
      </c>
      <c r="D97" s="98"/>
      <c r="E97" s="98"/>
      <c r="F97" s="76"/>
      <c r="G97" s="76">
        <v>5000</v>
      </c>
      <c r="H97" s="76"/>
      <c r="I97" s="76">
        <f t="shared" si="3"/>
        <v>15000</v>
      </c>
      <c r="J97" s="206">
        <v>4988.9400000000005</v>
      </c>
      <c r="K97" s="122">
        <f t="shared" si="7"/>
        <v>10011.06</v>
      </c>
      <c r="L97" s="132">
        <f t="shared" si="8"/>
        <v>1.4103767878352171E-3</v>
      </c>
      <c r="N97" s="149"/>
    </row>
    <row r="98" spans="1:14">
      <c r="A98" s="60">
        <v>299</v>
      </c>
      <c r="B98" s="54" t="s">
        <v>74</v>
      </c>
      <c r="C98" s="76">
        <v>15000</v>
      </c>
      <c r="D98" s="98"/>
      <c r="E98" s="98"/>
      <c r="F98" s="76"/>
      <c r="G98" s="76"/>
      <c r="H98" s="76"/>
      <c r="I98" s="76">
        <f t="shared" si="3"/>
        <v>15000</v>
      </c>
      <c r="J98" s="206">
        <v>5258.31</v>
      </c>
      <c r="K98" s="122">
        <f t="shared" si="7"/>
        <v>9741.6899999999987</v>
      </c>
      <c r="L98" s="132">
        <f t="shared" si="8"/>
        <v>1.4865278731036654E-3</v>
      </c>
      <c r="N98" s="149"/>
    </row>
    <row r="99" spans="1:14">
      <c r="A99" s="60"/>
      <c r="B99" s="54"/>
      <c r="C99" s="76"/>
      <c r="D99" s="98"/>
      <c r="E99" s="98"/>
      <c r="F99" s="76"/>
      <c r="G99" s="76"/>
      <c r="H99" s="76"/>
      <c r="I99" s="76"/>
      <c r="J99" s="206"/>
      <c r="K99" s="122"/>
      <c r="L99" s="132"/>
      <c r="N99" s="149"/>
    </row>
    <row r="100" spans="1:14">
      <c r="A100" s="59">
        <v>3</v>
      </c>
      <c r="B100" s="59" t="s">
        <v>178</v>
      </c>
      <c r="C100" s="76"/>
      <c r="D100" s="76"/>
      <c r="E100" s="76"/>
      <c r="F100" s="76"/>
      <c r="G100" s="76"/>
      <c r="H100" s="76"/>
      <c r="I100" s="76"/>
      <c r="J100" s="212"/>
      <c r="K100" s="122"/>
      <c r="L100" s="132"/>
      <c r="N100" s="149"/>
    </row>
    <row r="101" spans="1:14">
      <c r="A101" s="60">
        <v>322</v>
      </c>
      <c r="B101" s="54" t="s">
        <v>88</v>
      </c>
      <c r="C101" s="76">
        <v>32000</v>
      </c>
      <c r="D101" s="76"/>
      <c r="E101" s="76"/>
      <c r="F101" s="76"/>
      <c r="G101" s="76"/>
      <c r="H101" s="76"/>
      <c r="I101" s="206">
        <f t="shared" si="3"/>
        <v>32000</v>
      </c>
      <c r="J101" s="206">
        <v>23544</v>
      </c>
      <c r="K101" s="122">
        <f t="shared" si="7"/>
        <v>8456</v>
      </c>
      <c r="L101" s="132">
        <f>J101/$J$116</f>
        <v>6.6559050805967499E-3</v>
      </c>
      <c r="N101" s="149"/>
    </row>
    <row r="102" spans="1:14">
      <c r="A102" s="60">
        <v>323</v>
      </c>
      <c r="B102" s="54" t="s">
        <v>140</v>
      </c>
      <c r="C102" s="76">
        <v>3000</v>
      </c>
      <c r="D102" s="76"/>
      <c r="E102" s="76"/>
      <c r="F102" s="76"/>
      <c r="G102" s="76"/>
      <c r="H102" s="76"/>
      <c r="I102" s="76">
        <f t="shared" si="3"/>
        <v>3000</v>
      </c>
      <c r="J102" s="206">
        <v>0</v>
      </c>
      <c r="K102" s="122">
        <f t="shared" si="7"/>
        <v>3000</v>
      </c>
      <c r="L102" s="132">
        <f>J102/$J$116</f>
        <v>0</v>
      </c>
      <c r="N102" s="149"/>
    </row>
    <row r="103" spans="1:14">
      <c r="A103" s="60">
        <v>324</v>
      </c>
      <c r="B103" s="54" t="s">
        <v>141</v>
      </c>
      <c r="C103" s="76">
        <v>116220</v>
      </c>
      <c r="D103" s="76"/>
      <c r="E103" s="76"/>
      <c r="F103" s="76"/>
      <c r="G103" s="76"/>
      <c r="H103" s="76"/>
      <c r="I103" s="76">
        <f t="shared" si="3"/>
        <v>116220</v>
      </c>
      <c r="J103" s="206">
        <v>11100</v>
      </c>
      <c r="K103" s="122">
        <f t="shared" si="7"/>
        <v>105120</v>
      </c>
      <c r="L103" s="132">
        <f>J103/$J$116</f>
        <v>3.1379776756126367E-3</v>
      </c>
      <c r="N103" s="149"/>
    </row>
    <row r="104" spans="1:14">
      <c r="A104" s="60">
        <v>328</v>
      </c>
      <c r="B104" s="54" t="s">
        <v>89</v>
      </c>
      <c r="C104" s="76">
        <v>18000</v>
      </c>
      <c r="D104" s="76"/>
      <c r="E104" s="76"/>
      <c r="F104" s="76"/>
      <c r="G104" s="76"/>
      <c r="H104" s="76"/>
      <c r="I104" s="76">
        <f t="shared" si="3"/>
        <v>18000</v>
      </c>
      <c r="J104" s="206">
        <v>11820</v>
      </c>
      <c r="K104" s="122">
        <f t="shared" si="7"/>
        <v>6180</v>
      </c>
      <c r="L104" s="132">
        <f>J104/$J$116</f>
        <v>3.3415221734902131E-3</v>
      </c>
      <c r="N104" s="149"/>
    </row>
    <row r="105" spans="1:14">
      <c r="A105" s="60">
        <v>329</v>
      </c>
      <c r="B105" s="54" t="s">
        <v>90</v>
      </c>
      <c r="C105" s="76">
        <v>8000</v>
      </c>
      <c r="D105" s="76">
        <v>5000</v>
      </c>
      <c r="E105" s="76"/>
      <c r="F105" s="76"/>
      <c r="G105" s="76"/>
      <c r="H105" s="76"/>
      <c r="I105" s="76">
        <f t="shared" si="3"/>
        <v>13000</v>
      </c>
      <c r="J105" s="206">
        <v>0</v>
      </c>
      <c r="K105" s="122">
        <f t="shared" si="7"/>
        <v>13000</v>
      </c>
      <c r="L105" s="132">
        <f>J105/$J$116</f>
        <v>0</v>
      </c>
      <c r="N105" s="149"/>
    </row>
    <row r="106" spans="1:14">
      <c r="A106" s="60"/>
      <c r="B106" s="54"/>
      <c r="C106" s="76"/>
      <c r="D106" s="76"/>
      <c r="E106" s="76"/>
      <c r="F106" s="76"/>
      <c r="G106" s="76"/>
      <c r="H106" s="76"/>
      <c r="I106" s="76"/>
      <c r="J106" s="206"/>
      <c r="K106" s="122"/>
      <c r="L106" s="132"/>
      <c r="N106" s="149"/>
    </row>
    <row r="107" spans="1:14">
      <c r="A107" s="60"/>
      <c r="B107" s="54"/>
      <c r="C107" s="76"/>
      <c r="D107" s="76"/>
      <c r="E107" s="76"/>
      <c r="F107" s="76"/>
      <c r="G107" s="76"/>
      <c r="H107" s="76"/>
      <c r="I107" s="76"/>
      <c r="J107" s="206"/>
      <c r="K107" s="122"/>
      <c r="L107" s="132"/>
      <c r="N107" s="149"/>
    </row>
    <row r="108" spans="1:14">
      <c r="A108" s="59"/>
      <c r="B108" s="59"/>
      <c r="C108" s="76"/>
      <c r="D108" s="76"/>
      <c r="E108" s="76"/>
      <c r="F108" s="76"/>
      <c r="G108" s="76"/>
      <c r="H108" s="76"/>
      <c r="I108" s="76"/>
      <c r="J108" s="206"/>
      <c r="K108" s="122"/>
      <c r="L108" s="132"/>
      <c r="N108" s="149"/>
    </row>
    <row r="109" spans="1:14">
      <c r="A109" s="59">
        <v>4</v>
      </c>
      <c r="B109" s="59" t="s">
        <v>13</v>
      </c>
      <c r="C109" s="76"/>
      <c r="D109" s="76"/>
      <c r="E109" s="76"/>
      <c r="F109" s="76"/>
      <c r="G109" s="76"/>
      <c r="H109" s="76"/>
      <c r="I109" s="76"/>
      <c r="J109" s="206"/>
      <c r="K109" s="122"/>
      <c r="L109" s="132"/>
      <c r="N109" s="149"/>
    </row>
    <row r="110" spans="1:14">
      <c r="A110" s="61">
        <v>413</v>
      </c>
      <c r="B110" s="62" t="s">
        <v>77</v>
      </c>
      <c r="C110" s="76">
        <v>46000</v>
      </c>
      <c r="D110" s="76"/>
      <c r="E110" s="76"/>
      <c r="F110" s="76"/>
      <c r="G110" s="76"/>
      <c r="H110" s="76"/>
      <c r="I110" s="76">
        <f t="shared" ref="I110:I114" si="9">C110+D110-E110+F110-G110</f>
        <v>46000</v>
      </c>
      <c r="J110" s="206">
        <v>0</v>
      </c>
      <c r="K110" s="122">
        <f t="shared" ref="K110:K114" si="10">I110-J110</f>
        <v>46000</v>
      </c>
      <c r="L110" s="132">
        <f>J110/$J$116</f>
        <v>0</v>
      </c>
      <c r="N110" s="149"/>
    </row>
    <row r="111" spans="1:14">
      <c r="A111" s="61">
        <v>415</v>
      </c>
      <c r="B111" s="62" t="s">
        <v>78</v>
      </c>
      <c r="C111" s="76">
        <v>30100</v>
      </c>
      <c r="D111" s="76"/>
      <c r="E111" s="76"/>
      <c r="F111" s="76"/>
      <c r="G111" s="76"/>
      <c r="H111" s="76"/>
      <c r="I111" s="76">
        <f t="shared" si="9"/>
        <v>30100</v>
      </c>
      <c r="J111" s="206">
        <v>0</v>
      </c>
      <c r="K111" s="122">
        <f t="shared" si="10"/>
        <v>30100</v>
      </c>
      <c r="L111" s="132">
        <f>J111/$J$116</f>
        <v>0</v>
      </c>
      <c r="N111" s="149"/>
    </row>
    <row r="112" spans="1:14">
      <c r="A112" s="61">
        <v>419</v>
      </c>
      <c r="B112" s="62" t="s">
        <v>79</v>
      </c>
      <c r="C112" s="76">
        <v>19200</v>
      </c>
      <c r="D112" s="76"/>
      <c r="E112" s="76"/>
      <c r="F112" s="76"/>
      <c r="G112" s="76"/>
      <c r="H112" s="76"/>
      <c r="I112" s="76">
        <f t="shared" si="9"/>
        <v>19200</v>
      </c>
      <c r="J112" s="206">
        <v>2800</v>
      </c>
      <c r="K112" s="122">
        <f t="shared" si="10"/>
        <v>16400</v>
      </c>
      <c r="L112" s="132">
        <f>J112/$J$116</f>
        <v>7.9156193619057502E-4</v>
      </c>
      <c r="N112" s="149"/>
    </row>
    <row r="113" spans="1:14">
      <c r="A113" s="61">
        <v>453</v>
      </c>
      <c r="B113" s="62" t="s">
        <v>80</v>
      </c>
      <c r="C113" s="76">
        <v>120000</v>
      </c>
      <c r="D113" s="76"/>
      <c r="E113" s="76"/>
      <c r="F113" s="76">
        <v>105000</v>
      </c>
      <c r="G113" s="76"/>
      <c r="H113" s="76"/>
      <c r="I113" s="76">
        <f>C113+D113-E113+F113-G113</f>
        <v>225000</v>
      </c>
      <c r="J113" s="206">
        <v>153021.61000000002</v>
      </c>
      <c r="K113" s="122">
        <f t="shared" si="10"/>
        <v>71978.389999999985</v>
      </c>
      <c r="L113" s="132">
        <f>J113/$J$116</f>
        <v>4.325931496092824E-2</v>
      </c>
      <c r="N113" s="149"/>
    </row>
    <row r="114" spans="1:14">
      <c r="A114" s="61">
        <v>472</v>
      </c>
      <c r="B114" s="62" t="s">
        <v>118</v>
      </c>
      <c r="C114" s="76">
        <v>4000</v>
      </c>
      <c r="D114" s="76"/>
      <c r="E114" s="76"/>
      <c r="F114" s="76"/>
      <c r="G114" s="76"/>
      <c r="H114" s="76"/>
      <c r="I114" s="76">
        <f t="shared" si="9"/>
        <v>4000</v>
      </c>
      <c r="J114" s="206">
        <v>2089.9</v>
      </c>
      <c r="K114" s="122">
        <f t="shared" si="10"/>
        <v>1910.1</v>
      </c>
      <c r="L114" s="132">
        <f>J114/$J$116</f>
        <v>5.9081617515881527E-4</v>
      </c>
      <c r="N114" s="149"/>
    </row>
    <row r="115" spans="1:14" ht="20.25" customHeight="1" thickBot="1">
      <c r="A115" s="56"/>
      <c r="B115" s="160"/>
      <c r="C115" s="161"/>
      <c r="D115" s="76"/>
      <c r="E115" s="76"/>
      <c r="F115" s="101"/>
      <c r="G115" s="101"/>
      <c r="H115" s="101"/>
      <c r="I115" s="52"/>
      <c r="J115" s="213"/>
      <c r="K115" s="125"/>
      <c r="L115" s="132"/>
    </row>
    <row r="116" spans="1:14" ht="20.25" customHeight="1" thickBot="1">
      <c r="A116" s="162"/>
      <c r="B116" s="19" t="s">
        <v>7</v>
      </c>
      <c r="C116" s="11">
        <f>SUM(C23:C115)</f>
        <v>6176079.2063746657</v>
      </c>
      <c r="D116" s="11">
        <f>SUM(D23:D115)</f>
        <v>833550</v>
      </c>
      <c r="E116" s="11">
        <f>SUM(E23:E115)</f>
        <v>833550</v>
      </c>
      <c r="F116" s="11">
        <f t="shared" ref="F116:K116" si="11">SUM(F23:F115)</f>
        <v>776500</v>
      </c>
      <c r="G116" s="11">
        <f t="shared" si="11"/>
        <v>776500</v>
      </c>
      <c r="H116" s="11">
        <f t="shared" si="11"/>
        <v>0</v>
      </c>
      <c r="I116" s="11">
        <f t="shared" si="11"/>
        <v>6176079.2063746676</v>
      </c>
      <c r="J116" s="214">
        <f>SUM(J23:J115)</f>
        <v>3537310.060000001</v>
      </c>
      <c r="K116" s="11">
        <f t="shared" si="11"/>
        <v>2638769.1463746661</v>
      </c>
      <c r="L116" s="163">
        <f>J116/J116</f>
        <v>1</v>
      </c>
    </row>
    <row r="117" spans="1:14" ht="20.25" customHeight="1">
      <c r="A117" s="164"/>
      <c r="B117" s="36"/>
      <c r="C117" s="37"/>
      <c r="D117" s="37"/>
      <c r="E117" s="37"/>
      <c r="F117" s="37"/>
      <c r="G117" s="64"/>
      <c r="H117" s="37"/>
      <c r="I117" s="37"/>
      <c r="J117" s="215"/>
      <c r="K117" s="37"/>
      <c r="L117" s="39"/>
    </row>
    <row r="118" spans="1:14" ht="20.25" customHeight="1" thickBot="1">
      <c r="A118" s="164"/>
      <c r="B118" s="36"/>
      <c r="C118" s="37"/>
      <c r="D118" s="37"/>
      <c r="E118" s="37"/>
      <c r="F118" s="37"/>
      <c r="G118" s="37"/>
      <c r="H118" s="37"/>
      <c r="I118" s="37"/>
      <c r="J118" s="215"/>
      <c r="K118" s="37"/>
      <c r="L118" s="39"/>
    </row>
    <row r="119" spans="1:14" s="35" customFormat="1">
      <c r="A119" s="81" t="s">
        <v>8</v>
      </c>
      <c r="B119" s="81"/>
      <c r="C119" s="165"/>
      <c r="D119" s="32"/>
      <c r="E119" s="32"/>
      <c r="F119" s="96"/>
      <c r="G119" s="96"/>
      <c r="H119" s="96"/>
      <c r="I119" s="42"/>
      <c r="J119" s="216"/>
      <c r="K119" s="33"/>
      <c r="L119" s="34"/>
    </row>
    <row r="120" spans="1:14" s="35" customFormat="1">
      <c r="A120" s="84" t="s">
        <v>0</v>
      </c>
      <c r="B120" s="84"/>
      <c r="C120" s="166"/>
      <c r="D120" s="32"/>
      <c r="E120" s="32"/>
      <c r="F120" s="96"/>
      <c r="G120" s="96"/>
      <c r="H120" s="96"/>
      <c r="I120" s="42"/>
      <c r="J120" s="216"/>
      <c r="K120" s="33"/>
      <c r="L120" s="34"/>
    </row>
    <row r="121" spans="1:14" s="35" customFormat="1" ht="12" customHeight="1" thickBot="1">
      <c r="A121" s="84"/>
      <c r="B121" s="84"/>
      <c r="C121" s="166"/>
      <c r="D121" s="32"/>
      <c r="E121" s="32"/>
      <c r="F121" s="96"/>
      <c r="G121" s="96"/>
      <c r="H121" s="96"/>
      <c r="I121" s="42"/>
      <c r="J121" s="216"/>
      <c r="K121" s="33"/>
      <c r="L121" s="34"/>
    </row>
    <row r="122" spans="1:14" s="35" customFormat="1">
      <c r="A122" s="90" t="s">
        <v>121</v>
      </c>
      <c r="B122" s="85"/>
      <c r="C122" s="167"/>
      <c r="D122" s="32"/>
      <c r="E122" s="32"/>
      <c r="F122" s="96"/>
      <c r="G122" s="96"/>
      <c r="H122" s="96"/>
      <c r="I122" s="42"/>
      <c r="J122" s="216"/>
      <c r="K122" s="33"/>
      <c r="L122" s="34"/>
    </row>
    <row r="123" spans="1:14" s="35" customFormat="1">
      <c r="A123" s="91" t="s">
        <v>131</v>
      </c>
      <c r="B123" s="83"/>
      <c r="C123" s="168">
        <v>1077959.21</v>
      </c>
      <c r="D123" s="32"/>
      <c r="E123" s="169"/>
      <c r="F123" s="96"/>
      <c r="G123" s="96"/>
      <c r="H123" s="96"/>
      <c r="I123" s="42"/>
      <c r="J123" s="216"/>
      <c r="K123" s="33"/>
      <c r="L123" s="34"/>
    </row>
    <row r="124" spans="1:14" s="35" customFormat="1">
      <c r="A124" s="91" t="s">
        <v>81</v>
      </c>
      <c r="B124" s="83"/>
      <c r="C124" s="168">
        <f>ROUND((J19),2)</f>
        <v>3645652.79</v>
      </c>
      <c r="D124" s="32"/>
      <c r="E124" s="169"/>
      <c r="F124" s="135"/>
      <c r="G124" s="96"/>
      <c r="H124" s="220"/>
      <c r="I124" s="42"/>
      <c r="J124" s="216"/>
      <c r="K124" s="33"/>
      <c r="L124" s="34"/>
    </row>
    <row r="125" spans="1:14" s="35" customFormat="1">
      <c r="A125" s="91" t="s">
        <v>94</v>
      </c>
      <c r="B125" s="83"/>
      <c r="C125" s="109">
        <f>-ROUND((J116),2)</f>
        <v>-3537310.06</v>
      </c>
      <c r="D125" s="32"/>
      <c r="E125" s="169"/>
      <c r="F125" s="135"/>
      <c r="G125" s="96"/>
      <c r="H125" s="96"/>
      <c r="I125" s="42"/>
      <c r="J125" s="216"/>
      <c r="K125" s="33"/>
      <c r="L125" s="34"/>
    </row>
    <row r="126" spans="1:14" s="35" customFormat="1">
      <c r="A126" s="93" t="s">
        <v>120</v>
      </c>
      <c r="B126" s="83"/>
      <c r="C126" s="170">
        <f>SUM(C123:C125)</f>
        <v>1186301.94</v>
      </c>
      <c r="D126" s="171"/>
      <c r="E126" s="169"/>
      <c r="F126" s="135"/>
      <c r="G126" s="96"/>
      <c r="H126" s="96"/>
      <c r="I126" s="42"/>
      <c r="J126" s="216"/>
      <c r="K126" s="33"/>
      <c r="L126" s="34"/>
    </row>
    <row r="127" spans="1:14" s="35" customFormat="1">
      <c r="A127" s="92" t="s">
        <v>122</v>
      </c>
      <c r="B127" s="82"/>
      <c r="C127" s="119"/>
      <c r="D127" s="32"/>
      <c r="E127" s="32"/>
      <c r="F127" s="130"/>
      <c r="G127" s="118"/>
      <c r="H127" s="96"/>
      <c r="I127" s="42"/>
      <c r="J127" s="216"/>
      <c r="K127" s="33"/>
      <c r="L127" s="34"/>
    </row>
    <row r="128" spans="1:14" s="35" customFormat="1">
      <c r="A128" s="91"/>
      <c r="B128" s="83"/>
      <c r="C128" s="168">
        <v>0</v>
      </c>
      <c r="D128" s="32"/>
      <c r="E128" s="32"/>
      <c r="F128" s="131"/>
      <c r="G128" s="118"/>
      <c r="H128" s="96"/>
      <c r="I128" s="42"/>
      <c r="J128" s="216"/>
      <c r="K128" s="33"/>
      <c r="L128" s="34"/>
    </row>
    <row r="129" spans="1:12" s="35" customFormat="1" ht="6.95" customHeight="1">
      <c r="A129" s="91"/>
      <c r="B129" s="83"/>
      <c r="C129" s="109"/>
      <c r="D129" s="32"/>
      <c r="E129" s="95"/>
      <c r="F129" s="117"/>
      <c r="G129" s="118"/>
      <c r="H129" s="96"/>
      <c r="I129" s="42"/>
      <c r="J129" s="216"/>
      <c r="K129" s="33"/>
      <c r="L129" s="34"/>
    </row>
    <row r="130" spans="1:12" s="35" customFormat="1">
      <c r="A130" s="91"/>
      <c r="B130" s="83"/>
      <c r="C130" s="170">
        <f>SUM(C128:C129)</f>
        <v>0</v>
      </c>
      <c r="D130" s="32"/>
      <c r="E130" s="32"/>
      <c r="F130" s="117"/>
      <c r="G130" s="118"/>
      <c r="H130" s="96"/>
      <c r="I130" s="42"/>
      <c r="J130" s="216"/>
      <c r="K130" s="33"/>
      <c r="L130" s="34"/>
    </row>
    <row r="131" spans="1:12" s="35" customFormat="1" ht="6.95" customHeight="1">
      <c r="A131" s="91"/>
      <c r="B131" s="83"/>
      <c r="C131" s="109"/>
      <c r="D131" s="32"/>
      <c r="E131" s="32"/>
      <c r="F131" s="96"/>
      <c r="G131" s="96"/>
      <c r="H131" s="96"/>
      <c r="I131" s="42"/>
      <c r="J131" s="216"/>
      <c r="K131" s="33"/>
      <c r="L131" s="34"/>
    </row>
    <row r="132" spans="1:12" s="35" customFormat="1" ht="6.95" customHeight="1">
      <c r="A132" s="91"/>
      <c r="B132" s="83"/>
      <c r="C132" s="172"/>
      <c r="D132" s="32"/>
      <c r="E132" s="32"/>
      <c r="F132" s="96"/>
      <c r="G132" s="96"/>
      <c r="H132" s="96"/>
      <c r="I132" s="42"/>
      <c r="J132" s="216"/>
      <c r="K132" s="33"/>
      <c r="L132" s="34"/>
    </row>
    <row r="133" spans="1:12" s="35" customFormat="1" ht="18.75" thickBot="1">
      <c r="A133" s="93" t="s">
        <v>176</v>
      </c>
      <c r="B133" s="88"/>
      <c r="C133" s="173">
        <f>C126+C130</f>
        <v>1186301.94</v>
      </c>
      <c r="D133" s="174"/>
      <c r="F133" s="96"/>
      <c r="G133" s="96"/>
      <c r="H133" s="96"/>
      <c r="I133" s="42"/>
      <c r="J133" s="216"/>
      <c r="K133" s="33"/>
      <c r="L133" s="34"/>
    </row>
    <row r="134" spans="1:12" s="35" customFormat="1" ht="6.95" customHeight="1" thickTop="1" thickBot="1">
      <c r="A134" s="94"/>
      <c r="B134" s="87"/>
      <c r="C134" s="175"/>
      <c r="D134" s="174"/>
      <c r="F134" s="96"/>
      <c r="G134" s="96"/>
      <c r="H134" s="96"/>
      <c r="I134" s="42"/>
      <c r="J134" s="216"/>
      <c r="K134" s="33"/>
      <c r="L134" s="34"/>
    </row>
    <row r="135" spans="1:12">
      <c r="A135" s="43"/>
      <c r="B135" s="43"/>
      <c r="C135" s="221">
        <f>1186301.94-C133</f>
        <v>0</v>
      </c>
      <c r="D135" s="174"/>
      <c r="F135" s="136"/>
      <c r="G135" s="102"/>
      <c r="H135" s="102"/>
      <c r="I135" s="102"/>
      <c r="K135" s="102"/>
      <c r="L135" s="102"/>
    </row>
    <row r="136" spans="1:12">
      <c r="A136" s="43"/>
      <c r="B136" s="43"/>
      <c r="C136" s="177"/>
      <c r="D136" s="174"/>
      <c r="F136" s="102"/>
      <c r="G136" s="102"/>
      <c r="H136" s="102"/>
      <c r="I136" s="102"/>
      <c r="K136" s="102"/>
      <c r="L136" s="102"/>
    </row>
    <row r="137" spans="1:12">
      <c r="A137" s="36"/>
      <c r="B137" s="178" t="s">
        <v>177</v>
      </c>
      <c r="C137" s="179"/>
      <c r="D137" s="174"/>
      <c r="E137" s="95"/>
      <c r="F137" s="102"/>
      <c r="G137" s="102"/>
      <c r="I137" s="102"/>
      <c r="K137" s="102"/>
      <c r="L137" s="102"/>
    </row>
    <row r="138" spans="1:12">
      <c r="A138" s="36"/>
      <c r="B138" s="43"/>
      <c r="C138" s="180"/>
      <c r="D138" s="174"/>
      <c r="E138" s="102"/>
      <c r="F138" s="102"/>
      <c r="G138" s="102"/>
      <c r="H138" s="102"/>
      <c r="I138" s="102"/>
      <c r="K138" s="102"/>
      <c r="L138" s="102"/>
    </row>
    <row r="139" spans="1:12">
      <c r="A139" s="36"/>
      <c r="B139" s="43"/>
      <c r="C139" s="180"/>
      <c r="D139" s="174"/>
      <c r="E139" s="102"/>
      <c r="F139" s="102"/>
      <c r="G139" s="102"/>
      <c r="H139" s="102"/>
      <c r="I139" s="102"/>
      <c r="K139" s="102"/>
      <c r="L139" s="102"/>
    </row>
    <row r="140" spans="1:12">
      <c r="A140" s="36"/>
      <c r="B140" s="43"/>
      <c r="C140" s="149"/>
      <c r="D140" s="174"/>
      <c r="E140" s="102"/>
      <c r="F140" s="102"/>
      <c r="G140" s="102"/>
      <c r="H140" s="102"/>
      <c r="I140" s="102"/>
      <c r="K140" s="102"/>
      <c r="L140" s="102"/>
    </row>
    <row r="141" spans="1:12">
      <c r="A141" s="36"/>
      <c r="B141" s="43"/>
      <c r="C141" s="149"/>
      <c r="E141" s="102"/>
      <c r="F141" s="102"/>
      <c r="G141" s="102"/>
      <c r="H141" s="102"/>
      <c r="I141" s="102"/>
      <c r="K141" s="102"/>
      <c r="L141" s="102"/>
    </row>
    <row r="142" spans="1:12">
      <c r="A142" s="164"/>
      <c r="B142" s="43"/>
      <c r="C142" s="45"/>
      <c r="D142" s="42"/>
      <c r="E142" s="95"/>
      <c r="F142" s="95"/>
      <c r="G142" s="102"/>
      <c r="H142" s="102"/>
      <c r="I142" s="102"/>
      <c r="K142" s="102"/>
      <c r="L142" s="102"/>
    </row>
    <row r="143" spans="1:12">
      <c r="A143" s="164"/>
      <c r="B143" s="102"/>
      <c r="C143" s="181"/>
      <c r="D143" s="102"/>
      <c r="E143" s="95"/>
      <c r="F143" s="95"/>
      <c r="G143" s="102"/>
      <c r="H143" s="102"/>
      <c r="I143" s="102"/>
      <c r="K143" s="102"/>
      <c r="L143" s="102"/>
    </row>
    <row r="144" spans="1:12" ht="18.75">
      <c r="A144" s="164"/>
      <c r="B144" s="103" t="s">
        <v>152</v>
      </c>
      <c r="C144" s="182" t="s">
        <v>153</v>
      </c>
      <c r="E144" s="103"/>
      <c r="F144" s="103"/>
      <c r="G144" s="182" t="s">
        <v>156</v>
      </c>
      <c r="J144" s="104"/>
      <c r="K144" s="126"/>
      <c r="L144" s="103"/>
    </row>
    <row r="145" spans="1:13" ht="18.75">
      <c r="A145" s="164"/>
      <c r="B145" s="183" t="s">
        <v>154</v>
      </c>
      <c r="C145" s="184" t="s">
        <v>155</v>
      </c>
      <c r="E145" s="104"/>
      <c r="F145" s="145"/>
      <c r="G145" s="184" t="s">
        <v>148</v>
      </c>
      <c r="J145" s="104"/>
      <c r="K145" s="104"/>
      <c r="L145" s="104"/>
    </row>
    <row r="146" spans="1:13" ht="18.75">
      <c r="A146" s="164"/>
      <c r="B146" s="104"/>
      <c r="D146" s="126"/>
      <c r="E146" s="104"/>
      <c r="F146" s="104"/>
      <c r="G146" s="104"/>
      <c r="H146" s="104"/>
      <c r="I146" s="185"/>
      <c r="J146" s="104"/>
      <c r="K146" s="104"/>
      <c r="L146" s="104"/>
    </row>
    <row r="147" spans="1:13" ht="18.75">
      <c r="A147" s="164"/>
      <c r="B147" s="104"/>
      <c r="C147" s="149"/>
      <c r="D147" s="104"/>
      <c r="F147" s="104"/>
      <c r="G147" s="104"/>
      <c r="H147" s="104"/>
      <c r="I147" s="104"/>
      <c r="J147" s="104"/>
      <c r="L147" s="104"/>
    </row>
    <row r="148" spans="1:13">
      <c r="A148" s="29"/>
      <c r="B148" s="153"/>
      <c r="C148" s="114"/>
      <c r="D148" s="153"/>
      <c r="F148" s="116"/>
      <c r="G148" s="116"/>
      <c r="H148" s="116"/>
      <c r="I148" s="153"/>
      <c r="J148" s="217"/>
      <c r="L148" s="34"/>
      <c r="M148" s="35"/>
    </row>
    <row r="149" spans="1:13">
      <c r="A149" s="29"/>
      <c r="B149" s="113"/>
      <c r="C149" s="114"/>
      <c r="D149" s="116"/>
      <c r="E149" s="116"/>
      <c r="F149" s="116"/>
      <c r="G149" s="116"/>
      <c r="H149" s="116"/>
      <c r="I149" s="116"/>
      <c r="J149" s="217"/>
      <c r="K149" s="33"/>
      <c r="L149" s="34"/>
      <c r="M149" s="35"/>
    </row>
    <row r="150" spans="1:13">
      <c r="A150" s="36"/>
      <c r="B150" s="28"/>
      <c r="C150" s="115"/>
      <c r="D150" s="116"/>
      <c r="E150" s="116"/>
      <c r="F150" s="116"/>
      <c r="G150" s="116"/>
      <c r="H150" s="116"/>
      <c r="I150" s="116"/>
      <c r="J150" s="217"/>
      <c r="K150" s="38"/>
      <c r="L150" s="39"/>
      <c r="M150" s="35"/>
    </row>
    <row r="151" spans="1:13">
      <c r="A151" s="36"/>
      <c r="B151" s="259"/>
      <c r="C151" s="259"/>
      <c r="D151" s="41"/>
      <c r="E151" s="40"/>
      <c r="F151" s="28"/>
      <c r="G151" s="28"/>
      <c r="H151" s="40"/>
      <c r="I151" s="40"/>
      <c r="J151" s="218"/>
      <c r="K151" s="40"/>
      <c r="L151" s="40"/>
      <c r="M151" s="35"/>
    </row>
    <row r="152" spans="1:13">
      <c r="A152" s="36"/>
      <c r="B152" s="36"/>
      <c r="C152" s="28"/>
      <c r="D152" s="28"/>
      <c r="E152" s="42"/>
      <c r="F152" s="28"/>
      <c r="G152" s="28"/>
      <c r="H152" s="42"/>
      <c r="I152" s="42"/>
      <c r="J152" s="219"/>
      <c r="K152" s="42"/>
      <c r="L152" s="42"/>
      <c r="M152" s="35"/>
    </row>
    <row r="153" spans="1:13">
      <c r="A153" s="36"/>
      <c r="B153" s="43"/>
      <c r="C153" s="42"/>
      <c r="D153" s="28"/>
      <c r="E153" s="28"/>
      <c r="F153" s="28"/>
      <c r="G153" s="28"/>
      <c r="H153" s="28"/>
      <c r="I153" s="28"/>
      <c r="J153" s="35"/>
      <c r="K153" s="28"/>
      <c r="L153" s="28"/>
      <c r="M153" s="35"/>
    </row>
    <row r="154" spans="1:13">
      <c r="A154" s="36"/>
      <c r="B154" s="43"/>
      <c r="C154" s="42"/>
      <c r="D154" s="28"/>
      <c r="E154" s="28"/>
      <c r="F154" s="28"/>
      <c r="G154" s="28"/>
      <c r="H154" s="28"/>
      <c r="I154" s="28"/>
      <c r="J154" s="35"/>
      <c r="K154" s="28"/>
      <c r="L154" s="44"/>
      <c r="M154" s="35"/>
    </row>
    <row r="155" spans="1:13">
      <c r="A155" s="36"/>
      <c r="B155" s="43"/>
      <c r="C155" s="42"/>
      <c r="D155" s="28"/>
      <c r="E155" s="28"/>
      <c r="F155" s="28"/>
      <c r="G155" s="28"/>
      <c r="H155" s="28"/>
      <c r="I155" s="28"/>
      <c r="J155" s="35"/>
      <c r="K155" s="28"/>
      <c r="L155" s="28"/>
      <c r="M155" s="35"/>
    </row>
    <row r="156" spans="1:13">
      <c r="A156" s="36"/>
      <c r="B156" s="43"/>
      <c r="C156" s="45"/>
      <c r="D156" s="28"/>
      <c r="E156" s="28"/>
      <c r="F156" s="28"/>
      <c r="G156" s="28"/>
      <c r="H156" s="28"/>
      <c r="I156" s="28"/>
      <c r="J156" s="35"/>
      <c r="K156" s="28"/>
      <c r="L156" s="28"/>
      <c r="M156" s="35"/>
    </row>
    <row r="157" spans="1:13">
      <c r="A157" s="36"/>
      <c r="B157" s="43"/>
      <c r="C157" s="45"/>
      <c r="D157" s="28"/>
      <c r="E157" s="28"/>
      <c r="F157" s="35"/>
      <c r="G157" s="35"/>
      <c r="H157" s="28"/>
      <c r="I157" s="28"/>
      <c r="J157" s="35"/>
      <c r="K157" s="28"/>
      <c r="L157" s="28"/>
      <c r="M157" s="35"/>
    </row>
    <row r="158" spans="1:13">
      <c r="A158" s="36"/>
      <c r="B158" s="35"/>
      <c r="C158" s="35"/>
      <c r="D158" s="28"/>
      <c r="E158" s="28"/>
      <c r="F158" s="35"/>
      <c r="G158" s="35"/>
      <c r="H158" s="28"/>
      <c r="I158" s="28"/>
      <c r="J158" s="35"/>
      <c r="K158" s="28"/>
      <c r="L158" s="28"/>
      <c r="M158" s="35"/>
    </row>
    <row r="159" spans="1:13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1:13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</row>
    <row r="161" spans="1:13">
      <c r="A161" s="35"/>
      <c r="B161" s="35"/>
      <c r="C161" s="35"/>
      <c r="D161" s="35"/>
      <c r="E161" s="35"/>
      <c r="H161" s="35"/>
      <c r="I161" s="35"/>
      <c r="J161" s="35"/>
      <c r="K161" s="35"/>
      <c r="L161" s="35"/>
      <c r="M161" s="35"/>
    </row>
    <row r="162" spans="1:13">
      <c r="A162" s="35"/>
      <c r="D162" s="35"/>
      <c r="E162" s="35"/>
      <c r="H162" s="35"/>
      <c r="I162" s="35"/>
      <c r="J162" s="35"/>
      <c r="K162" s="35"/>
      <c r="L162" s="35"/>
      <c r="M162" s="35"/>
    </row>
  </sheetData>
  <mergeCells count="4">
    <mergeCell ref="J6:J7"/>
    <mergeCell ref="B151:C151"/>
    <mergeCell ref="A6:A7"/>
    <mergeCell ref="B6:B7"/>
  </mergeCells>
  <printOptions horizontalCentered="1"/>
  <pageMargins left="0.39370078740157483" right="0.39370078740157483" top="0.78740157480314965" bottom="0.98425196850393704" header="0.31496062992125984" footer="0.31496062992125984"/>
  <pageSetup scale="50" orientation="landscape" horizontalDpi="4294967293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7"/>
  <sheetViews>
    <sheetView showGridLines="0" zoomScale="75" zoomScaleNormal="75" workbookViewId="0">
      <selection activeCell="D6" sqref="D6:G6"/>
    </sheetView>
  </sheetViews>
  <sheetFormatPr baseColWidth="10" defaultColWidth="11.42578125" defaultRowHeight="18"/>
  <cols>
    <col min="1" max="1" width="11.7109375" style="5" customWidth="1"/>
    <col min="2" max="2" width="66.7109375" style="5" customWidth="1"/>
    <col min="3" max="3" width="19.28515625" style="233" customWidth="1"/>
    <col min="4" max="7" width="17.7109375" style="5" customWidth="1"/>
    <col min="8" max="8" width="14.7109375" style="5" customWidth="1"/>
    <col min="9" max="9" width="19.28515625" style="5" customWidth="1"/>
    <col min="10" max="10" width="19.28515625" style="253" customWidth="1"/>
    <col min="11" max="11" width="19.28515625" style="5" customWidth="1"/>
    <col min="12" max="12" width="12.7109375" style="5" customWidth="1"/>
    <col min="13" max="13" width="7" style="5" customWidth="1"/>
    <col min="14" max="14" width="19.5703125" style="5" bestFit="1" customWidth="1"/>
    <col min="15" max="16384" width="11.42578125" style="5"/>
  </cols>
  <sheetData>
    <row r="1" spans="1:14">
      <c r="A1" s="97" t="s">
        <v>39</v>
      </c>
      <c r="B1" s="97"/>
      <c r="C1" s="224"/>
      <c r="D1" s="97"/>
      <c r="E1" s="97"/>
      <c r="F1" s="97"/>
      <c r="G1" s="97"/>
      <c r="H1" s="97"/>
      <c r="I1" s="97"/>
      <c r="J1" s="243"/>
      <c r="K1" s="97"/>
      <c r="L1" s="97"/>
    </row>
    <row r="2" spans="1:14">
      <c r="A2" s="97" t="s">
        <v>119</v>
      </c>
      <c r="B2" s="97"/>
      <c r="C2" s="224"/>
      <c r="D2" s="97"/>
      <c r="E2" s="97"/>
      <c r="F2" s="97"/>
      <c r="G2" s="97"/>
      <c r="H2" s="97"/>
      <c r="I2" s="97"/>
      <c r="J2" s="243"/>
      <c r="K2" s="97"/>
      <c r="L2" s="97"/>
    </row>
    <row r="3" spans="1:14">
      <c r="A3" s="97" t="s">
        <v>179</v>
      </c>
      <c r="B3" s="97"/>
      <c r="C3" s="224"/>
      <c r="D3" s="97"/>
      <c r="E3" s="97"/>
      <c r="F3" s="97"/>
      <c r="G3" s="97"/>
      <c r="H3" s="97"/>
      <c r="I3" s="97"/>
      <c r="J3" s="243"/>
      <c r="K3" s="97"/>
      <c r="L3" s="97"/>
    </row>
    <row r="4" spans="1:14" ht="17.850000000000001" customHeight="1">
      <c r="A4" s="97" t="s">
        <v>0</v>
      </c>
      <c r="B4" s="97"/>
      <c r="C4" s="224"/>
      <c r="D4" s="97"/>
      <c r="E4" s="97"/>
      <c r="F4" s="97"/>
      <c r="G4" s="97"/>
      <c r="H4" s="97"/>
      <c r="I4" s="97"/>
      <c r="J4" s="243"/>
      <c r="K4" s="97"/>
      <c r="L4" s="97"/>
    </row>
    <row r="5" spans="1:14" ht="17.850000000000001" customHeight="1" thickBot="1">
      <c r="A5" s="97"/>
      <c r="B5" s="97"/>
      <c r="C5" s="224"/>
      <c r="D5" s="97"/>
      <c r="E5" s="97"/>
      <c r="F5" s="97"/>
      <c r="G5" s="97"/>
      <c r="H5" s="97"/>
      <c r="I5" s="97"/>
      <c r="J5" s="243"/>
      <c r="K5" s="97"/>
      <c r="L5" s="97"/>
    </row>
    <row r="6" spans="1:14" ht="18.75" thickBot="1">
      <c r="A6" s="260" t="s">
        <v>5</v>
      </c>
      <c r="B6" s="262" t="s">
        <v>40</v>
      </c>
      <c r="C6" s="225" t="s">
        <v>1</v>
      </c>
      <c r="D6" s="256" t="s">
        <v>171</v>
      </c>
      <c r="E6" s="256"/>
      <c r="F6" s="256" t="s">
        <v>191</v>
      </c>
      <c r="G6" s="256"/>
      <c r="H6" s="3" t="s">
        <v>42</v>
      </c>
      <c r="I6" s="3" t="s">
        <v>1</v>
      </c>
      <c r="J6" s="267" t="s">
        <v>2</v>
      </c>
      <c r="K6" s="4" t="s">
        <v>29</v>
      </c>
      <c r="L6" s="3" t="s">
        <v>31</v>
      </c>
    </row>
    <row r="7" spans="1:14" ht="18.75" thickBot="1">
      <c r="A7" s="261"/>
      <c r="B7" s="263"/>
      <c r="C7" s="226" t="s">
        <v>3</v>
      </c>
      <c r="D7" s="7" t="s">
        <v>145</v>
      </c>
      <c r="E7" s="7" t="s">
        <v>146</v>
      </c>
      <c r="F7" s="7" t="s">
        <v>145</v>
      </c>
      <c r="G7" s="7" t="s">
        <v>146</v>
      </c>
      <c r="H7" s="6" t="s">
        <v>33</v>
      </c>
      <c r="I7" s="6" t="s">
        <v>4</v>
      </c>
      <c r="J7" s="268"/>
      <c r="K7" s="8" t="s">
        <v>30</v>
      </c>
      <c r="L7" s="9" t="s">
        <v>32</v>
      </c>
    </row>
    <row r="8" spans="1:14">
      <c r="A8" s="69"/>
      <c r="B8" s="71" t="s">
        <v>116</v>
      </c>
      <c r="C8" s="99"/>
      <c r="D8" s="98"/>
      <c r="E8" s="98"/>
      <c r="F8" s="98"/>
      <c r="G8" s="98"/>
      <c r="H8" s="98"/>
      <c r="I8" s="98"/>
      <c r="J8" s="244"/>
      <c r="K8" s="203"/>
      <c r="L8" s="98"/>
    </row>
    <row r="9" spans="1:14">
      <c r="A9" s="222"/>
      <c r="B9" s="223"/>
      <c r="C9" s="99"/>
      <c r="D9" s="98"/>
      <c r="E9" s="98"/>
      <c r="F9" s="98"/>
      <c r="G9" s="98"/>
      <c r="H9" s="98"/>
      <c r="I9" s="98"/>
      <c r="J9" s="244"/>
      <c r="K9" s="203"/>
      <c r="L9" s="98"/>
    </row>
    <row r="10" spans="1:14">
      <c r="A10" s="60"/>
      <c r="B10" s="70" t="s">
        <v>117</v>
      </c>
      <c r="C10" s="227">
        <v>1077959.21</v>
      </c>
      <c r="D10" s="54"/>
      <c r="E10" s="52"/>
      <c r="F10" s="54"/>
      <c r="G10" s="54"/>
      <c r="H10" s="54"/>
      <c r="I10" s="52">
        <f t="shared" ref="I10:I17" si="0">C10+D10-E10+F10-G10</f>
        <v>1077959.21</v>
      </c>
      <c r="J10" s="245"/>
      <c r="K10" s="203">
        <f t="shared" ref="K10:K17" si="1">I10-J10+H10</f>
        <v>1077959.21</v>
      </c>
      <c r="L10" s="146">
        <f>J10/J19</f>
        <v>0</v>
      </c>
    </row>
    <row r="11" spans="1:14">
      <c r="A11" s="60" t="s">
        <v>27</v>
      </c>
      <c r="B11" s="54" t="s">
        <v>54</v>
      </c>
      <c r="C11" s="227">
        <f>12500+60000+1000</f>
        <v>73500</v>
      </c>
      <c r="D11" s="52"/>
      <c r="E11" s="52"/>
      <c r="F11" s="52"/>
      <c r="G11" s="52"/>
      <c r="H11" s="52"/>
      <c r="I11" s="52">
        <f>C11+D11-E11+F11-G11</f>
        <v>73500</v>
      </c>
      <c r="J11" s="245">
        <f>74597+2295+20427+2295+16154</f>
        <v>115768</v>
      </c>
      <c r="K11" s="189">
        <f t="shared" si="1"/>
        <v>-42268</v>
      </c>
      <c r="L11" s="146">
        <f>J11/J19</f>
        <v>2.9147528037318363E-2</v>
      </c>
      <c r="N11" s="147"/>
    </row>
    <row r="12" spans="1:14">
      <c r="A12" s="148" t="s">
        <v>95</v>
      </c>
      <c r="B12" s="54" t="s">
        <v>96</v>
      </c>
      <c r="C12" s="227">
        <v>4000</v>
      </c>
      <c r="D12" s="52"/>
      <c r="E12" s="52"/>
      <c r="F12" s="52"/>
      <c r="G12" s="52"/>
      <c r="H12" s="52"/>
      <c r="I12" s="52">
        <f t="shared" si="0"/>
        <v>4000</v>
      </c>
      <c r="J12" s="245">
        <f>1854.82+78.84+68.4</f>
        <v>2002.06</v>
      </c>
      <c r="K12" s="189">
        <f t="shared" si="1"/>
        <v>1997.94</v>
      </c>
      <c r="L12" s="146">
        <f>J12/J19</f>
        <v>5.0406934543564374E-4</v>
      </c>
      <c r="N12" s="147"/>
    </row>
    <row r="13" spans="1:14">
      <c r="A13" s="60" t="s">
        <v>97</v>
      </c>
      <c r="B13" s="54" t="s">
        <v>133</v>
      </c>
      <c r="C13" s="227">
        <v>3172620</v>
      </c>
      <c r="D13" s="52"/>
      <c r="E13" s="52"/>
      <c r="F13" s="52"/>
      <c r="G13" s="52"/>
      <c r="H13" s="52"/>
      <c r="I13" s="52">
        <f t="shared" si="0"/>
        <v>3172620</v>
      </c>
      <c r="J13" s="245">
        <f>1049646.93+201855.31+0.02+321134.75+74623.9+159039.16</f>
        <v>1806300.0699999998</v>
      </c>
      <c r="K13" s="189">
        <f t="shared" si="1"/>
        <v>1366319.9300000002</v>
      </c>
      <c r="L13" s="146">
        <f>J13/J19</f>
        <v>0.45478182169628151</v>
      </c>
      <c r="N13" s="149"/>
    </row>
    <row r="14" spans="1:14">
      <c r="A14" s="60" t="s">
        <v>97</v>
      </c>
      <c r="B14" s="54" t="s">
        <v>134</v>
      </c>
      <c r="C14" s="227">
        <v>1828000</v>
      </c>
      <c r="D14" s="52"/>
      <c r="E14" s="52"/>
      <c r="F14" s="202"/>
      <c r="G14" s="52"/>
      <c r="H14" s="52"/>
      <c r="I14" s="52">
        <f t="shared" si="0"/>
        <v>1828000</v>
      </c>
      <c r="J14" s="245">
        <f>1537761.06+326014.9+109987.16+73961.54</f>
        <v>2047724.66</v>
      </c>
      <c r="K14" s="189">
        <f t="shared" si="1"/>
        <v>-219724.65999999992</v>
      </c>
      <c r="L14" s="146">
        <f>J14/J19</f>
        <v>0.51556658092096441</v>
      </c>
    </row>
    <row r="15" spans="1:14">
      <c r="A15" s="60" t="s">
        <v>97</v>
      </c>
      <c r="B15" s="54" t="s">
        <v>99</v>
      </c>
      <c r="C15" s="227">
        <v>20000</v>
      </c>
      <c r="D15" s="52"/>
      <c r="E15" s="52"/>
      <c r="F15" s="52"/>
      <c r="G15" s="52"/>
      <c r="H15" s="52"/>
      <c r="I15" s="52">
        <f>C15+D15-E15+F15-G15</f>
        <v>20000</v>
      </c>
      <c r="J15" s="245">
        <v>0</v>
      </c>
      <c r="K15" s="203">
        <f>I15-J15+H15</f>
        <v>20000</v>
      </c>
      <c r="L15" s="146">
        <v>0</v>
      </c>
    </row>
    <row r="16" spans="1:14">
      <c r="A16" s="60" t="s">
        <v>97</v>
      </c>
      <c r="B16" s="54" t="s">
        <v>144</v>
      </c>
      <c r="C16" s="227">
        <v>0</v>
      </c>
      <c r="D16" s="52"/>
      <c r="E16" s="52"/>
      <c r="F16" s="52"/>
      <c r="G16" s="52"/>
      <c r="H16" s="52"/>
      <c r="I16" s="52">
        <f t="shared" si="0"/>
        <v>0</v>
      </c>
      <c r="J16" s="245">
        <v>0</v>
      </c>
      <c r="K16" s="203">
        <f t="shared" si="1"/>
        <v>0</v>
      </c>
      <c r="L16" s="146">
        <v>0</v>
      </c>
    </row>
    <row r="17" spans="1:14">
      <c r="A17" s="60" t="s">
        <v>97</v>
      </c>
      <c r="B17" s="54" t="s">
        <v>98</v>
      </c>
      <c r="C17" s="227">
        <v>0</v>
      </c>
      <c r="D17" s="52"/>
      <c r="E17" s="52"/>
      <c r="F17" s="52"/>
      <c r="G17" s="52"/>
      <c r="H17" s="52"/>
      <c r="I17" s="52">
        <f t="shared" si="0"/>
        <v>0</v>
      </c>
      <c r="J17" s="245">
        <v>0</v>
      </c>
      <c r="K17" s="203">
        <f t="shared" si="1"/>
        <v>0</v>
      </c>
      <c r="L17" s="146">
        <v>0</v>
      </c>
    </row>
    <row r="18" spans="1:14" ht="18.75" thickBot="1">
      <c r="A18" s="150"/>
      <c r="B18" s="151"/>
      <c r="C18" s="228">
        <v>0</v>
      </c>
      <c r="D18" s="128"/>
      <c r="E18" s="128"/>
      <c r="F18" s="128"/>
      <c r="G18" s="128"/>
      <c r="H18" s="128"/>
      <c r="I18" s="128">
        <f>H18</f>
        <v>0</v>
      </c>
      <c r="J18" s="245">
        <v>0</v>
      </c>
      <c r="K18" s="204">
        <f>-J18+H18</f>
        <v>0</v>
      </c>
      <c r="L18" s="152">
        <f>J18/J19</f>
        <v>0</v>
      </c>
      <c r="N18" s="42"/>
    </row>
    <row r="19" spans="1:14" ht="18.75" customHeight="1" thickBot="1">
      <c r="A19" s="68"/>
      <c r="B19" s="67" t="s">
        <v>6</v>
      </c>
      <c r="C19" s="63">
        <f t="shared" ref="C19:I19" si="2">SUM(C10:C18)</f>
        <v>6176079.21</v>
      </c>
      <c r="D19" s="63">
        <f t="shared" si="2"/>
        <v>0</v>
      </c>
      <c r="E19" s="63">
        <f t="shared" si="2"/>
        <v>0</v>
      </c>
      <c r="F19" s="63">
        <f t="shared" si="2"/>
        <v>0</v>
      </c>
      <c r="G19" s="63">
        <f t="shared" si="2"/>
        <v>0</v>
      </c>
      <c r="H19" s="63">
        <f t="shared" si="2"/>
        <v>0</v>
      </c>
      <c r="I19" s="11">
        <f t="shared" si="2"/>
        <v>6176079.21</v>
      </c>
      <c r="J19" s="246">
        <f>ROUND((SUM(J10:J18)),2)</f>
        <v>3971794.79</v>
      </c>
      <c r="K19" s="11">
        <f>SUM(K10:K18)</f>
        <v>2204284.42</v>
      </c>
      <c r="L19" s="12">
        <f>SUM(L18:L18)</f>
        <v>0</v>
      </c>
    </row>
    <row r="20" spans="1:14">
      <c r="A20" s="141"/>
      <c r="B20" s="142"/>
      <c r="C20" s="229"/>
      <c r="D20" s="157"/>
      <c r="E20" s="98"/>
      <c r="F20" s="98"/>
      <c r="G20" s="98"/>
      <c r="H20" s="98"/>
      <c r="I20" s="98"/>
      <c r="J20" s="247"/>
      <c r="K20" s="98"/>
      <c r="L20" s="98"/>
    </row>
    <row r="21" spans="1:14">
      <c r="A21" s="222" t="s">
        <v>5</v>
      </c>
      <c r="B21" s="223" t="s">
        <v>115</v>
      </c>
      <c r="C21" s="99"/>
      <c r="D21" s="98"/>
      <c r="E21" s="98"/>
      <c r="F21" s="98"/>
      <c r="G21" s="98"/>
      <c r="H21" s="98"/>
      <c r="I21" s="98"/>
      <c r="J21" s="247"/>
      <c r="K21" s="98"/>
      <c r="L21" s="98"/>
    </row>
    <row r="22" spans="1:14">
      <c r="A22" s="222"/>
      <c r="B22" s="223"/>
      <c r="C22" s="99"/>
      <c r="D22" s="98"/>
      <c r="E22" s="98"/>
      <c r="F22" s="98"/>
      <c r="G22" s="98"/>
      <c r="H22" s="98"/>
      <c r="I22" s="98"/>
      <c r="J22" s="247"/>
      <c r="K22" s="98"/>
      <c r="L22" s="98"/>
    </row>
    <row r="23" spans="1:14">
      <c r="A23" s="59">
        <v>0</v>
      </c>
      <c r="B23" s="59" t="s">
        <v>9</v>
      </c>
      <c r="C23" s="99"/>
      <c r="D23" s="76"/>
      <c r="E23" s="76"/>
      <c r="F23" s="76"/>
      <c r="G23" s="76"/>
      <c r="H23" s="76"/>
      <c r="I23" s="76"/>
      <c r="J23" s="244"/>
      <c r="K23" s="122"/>
      <c r="L23" s="132"/>
    </row>
    <row r="24" spans="1:14">
      <c r="A24" s="53" t="s">
        <v>14</v>
      </c>
      <c r="B24" s="54" t="s">
        <v>84</v>
      </c>
      <c r="C24" s="99">
        <v>574724</v>
      </c>
      <c r="D24" s="76"/>
      <c r="E24" s="76"/>
      <c r="F24" s="76"/>
      <c r="G24" s="76"/>
      <c r="H24" s="76"/>
      <c r="I24" s="76">
        <f t="shared" ref="I24:I105" si="3">C24+D24-E24+F24-G24</f>
        <v>574724</v>
      </c>
      <c r="J24" s="244">
        <v>366691.70999999996</v>
      </c>
      <c r="K24" s="122">
        <f>I24-J24</f>
        <v>208032.29000000004</v>
      </c>
      <c r="L24" s="132">
        <f t="shared" ref="L24:L35" si="4">J24/$J$116</f>
        <v>8.0837343107940551E-2</v>
      </c>
      <c r="N24" s="149"/>
    </row>
    <row r="25" spans="1:14">
      <c r="A25" s="53" t="s">
        <v>34</v>
      </c>
      <c r="B25" s="54" t="s">
        <v>35</v>
      </c>
      <c r="C25" s="99">
        <v>4500</v>
      </c>
      <c r="D25" s="76"/>
      <c r="E25" s="76"/>
      <c r="F25" s="76"/>
      <c r="G25" s="76"/>
      <c r="H25" s="76"/>
      <c r="I25" s="76">
        <f t="shared" si="3"/>
        <v>4500</v>
      </c>
      <c r="J25" s="244">
        <v>3375</v>
      </c>
      <c r="K25" s="122">
        <f t="shared" ref="K25:K88" si="5">I25-J25</f>
        <v>1125</v>
      </c>
      <c r="L25" s="132">
        <f t="shared" si="4"/>
        <v>7.4402018248326198E-4</v>
      </c>
      <c r="N25" s="149"/>
    </row>
    <row r="26" spans="1:14">
      <c r="A26" s="53" t="s">
        <v>15</v>
      </c>
      <c r="B26" s="54" t="s">
        <v>43</v>
      </c>
      <c r="C26" s="99">
        <v>62500</v>
      </c>
      <c r="D26" s="76">
        <v>36000</v>
      </c>
      <c r="E26" s="76"/>
      <c r="F26" s="76"/>
      <c r="G26" s="76"/>
      <c r="H26" s="76"/>
      <c r="I26" s="76">
        <f t="shared" si="3"/>
        <v>98500</v>
      </c>
      <c r="J26" s="244">
        <v>56116.67</v>
      </c>
      <c r="K26" s="122">
        <f t="shared" si="5"/>
        <v>42383.33</v>
      </c>
      <c r="L26" s="132">
        <f t="shared" si="4"/>
        <v>1.2370943719630515E-2</v>
      </c>
      <c r="N26" s="149"/>
    </row>
    <row r="27" spans="1:14">
      <c r="A27" s="53" t="s">
        <v>135</v>
      </c>
      <c r="B27" s="54" t="s">
        <v>136</v>
      </c>
      <c r="C27" s="99">
        <v>357550</v>
      </c>
      <c r="D27" s="76"/>
      <c r="E27" s="76">
        <v>357550</v>
      </c>
      <c r="F27" s="76"/>
      <c r="G27" s="76"/>
      <c r="H27" s="76"/>
      <c r="I27" s="76">
        <f t="shared" si="3"/>
        <v>0</v>
      </c>
      <c r="J27" s="244">
        <v>0</v>
      </c>
      <c r="K27" s="122">
        <f t="shared" si="5"/>
        <v>0</v>
      </c>
      <c r="L27" s="132">
        <f t="shared" si="4"/>
        <v>0</v>
      </c>
      <c r="N27" s="149"/>
    </row>
    <row r="28" spans="1:14">
      <c r="A28" s="53" t="s">
        <v>137</v>
      </c>
      <c r="B28" s="54" t="s">
        <v>138</v>
      </c>
      <c r="C28" s="99">
        <v>5750</v>
      </c>
      <c r="D28" s="76"/>
      <c r="E28" s="76"/>
      <c r="F28" s="76"/>
      <c r="G28" s="76"/>
      <c r="H28" s="76"/>
      <c r="I28" s="76">
        <f t="shared" si="3"/>
        <v>5750</v>
      </c>
      <c r="J28" s="244">
        <v>0</v>
      </c>
      <c r="K28" s="122">
        <f t="shared" si="5"/>
        <v>5750</v>
      </c>
      <c r="L28" s="132">
        <f t="shared" si="4"/>
        <v>0</v>
      </c>
      <c r="N28" s="149"/>
    </row>
    <row r="29" spans="1:14">
      <c r="A29" s="53" t="s">
        <v>100</v>
      </c>
      <c r="B29" s="54" t="s">
        <v>101</v>
      </c>
      <c r="C29" s="99">
        <v>15400</v>
      </c>
      <c r="D29" s="76"/>
      <c r="E29" s="76"/>
      <c r="F29" s="76"/>
      <c r="G29" s="76"/>
      <c r="H29" s="76"/>
      <c r="I29" s="76">
        <f>C29+D29-E29+F29-G29</f>
        <v>15400</v>
      </c>
      <c r="J29" s="244">
        <v>7947.37</v>
      </c>
      <c r="K29" s="122">
        <f t="shared" si="5"/>
        <v>7452.63</v>
      </c>
      <c r="L29" s="132">
        <f t="shared" si="4"/>
        <v>1.7520010896776301E-3</v>
      </c>
      <c r="N29" s="149"/>
    </row>
    <row r="30" spans="1:14">
      <c r="A30" s="53" t="s">
        <v>21</v>
      </c>
      <c r="B30" s="54" t="s">
        <v>22</v>
      </c>
      <c r="C30" s="99">
        <v>37627.240000000005</v>
      </c>
      <c r="D30" s="76"/>
      <c r="E30" s="76"/>
      <c r="F30" s="76"/>
      <c r="G30" s="76"/>
      <c r="H30" s="76"/>
      <c r="I30" s="76">
        <f t="shared" si="3"/>
        <v>37627.240000000005</v>
      </c>
      <c r="J30" s="244">
        <v>19573.910000000003</v>
      </c>
      <c r="K30" s="122">
        <f t="shared" si="5"/>
        <v>18053.330000000002</v>
      </c>
      <c r="L30" s="132">
        <f t="shared" si="4"/>
        <v>4.3150767674402816E-3</v>
      </c>
      <c r="N30" s="149"/>
    </row>
    <row r="31" spans="1:14">
      <c r="A31" s="53" t="s">
        <v>16</v>
      </c>
      <c r="B31" s="54" t="s">
        <v>125</v>
      </c>
      <c r="C31" s="99">
        <v>111250.887308</v>
      </c>
      <c r="D31" s="76"/>
      <c r="E31" s="76"/>
      <c r="F31" s="76"/>
      <c r="G31" s="76"/>
      <c r="H31" s="76"/>
      <c r="I31" s="76">
        <f t="shared" si="3"/>
        <v>111250.887308</v>
      </c>
      <c r="J31" s="244">
        <v>36398.32</v>
      </c>
      <c r="K31" s="122">
        <f t="shared" si="5"/>
        <v>74852.567307999998</v>
      </c>
      <c r="L31" s="132">
        <f t="shared" si="4"/>
        <v>8.0240250928841975E-3</v>
      </c>
      <c r="N31" s="149"/>
    </row>
    <row r="32" spans="1:14">
      <c r="A32" s="53" t="s">
        <v>17</v>
      </c>
      <c r="B32" s="54" t="s">
        <v>126</v>
      </c>
      <c r="C32" s="99">
        <v>10426.5124</v>
      </c>
      <c r="D32" s="76"/>
      <c r="E32" s="76"/>
      <c r="F32" s="76"/>
      <c r="G32" s="76"/>
      <c r="H32" s="76"/>
      <c r="I32" s="76">
        <f t="shared" si="3"/>
        <v>10426.5124</v>
      </c>
      <c r="J32" s="244">
        <v>3411.2799999999997</v>
      </c>
      <c r="K32" s="122">
        <f t="shared" si="5"/>
        <v>7015.2323999999999</v>
      </c>
      <c r="L32" s="132">
        <f t="shared" si="4"/>
        <v>7.5201812388192644E-4</v>
      </c>
      <c r="N32" s="149"/>
    </row>
    <row r="33" spans="1:14">
      <c r="A33" s="53" t="s">
        <v>18</v>
      </c>
      <c r="B33" s="55" t="s">
        <v>82</v>
      </c>
      <c r="C33" s="99">
        <v>78272.833333333328</v>
      </c>
      <c r="D33" s="76"/>
      <c r="E33" s="76"/>
      <c r="F33" s="76"/>
      <c r="G33" s="76"/>
      <c r="H33" s="76"/>
      <c r="I33" s="76">
        <f t="shared" si="3"/>
        <v>78272.833333333328</v>
      </c>
      <c r="J33" s="244">
        <v>0</v>
      </c>
      <c r="K33" s="122">
        <f t="shared" si="5"/>
        <v>78272.833333333328</v>
      </c>
      <c r="L33" s="132">
        <f t="shared" si="4"/>
        <v>0</v>
      </c>
      <c r="N33" s="149"/>
    </row>
    <row r="34" spans="1:14">
      <c r="A34" s="53" t="s">
        <v>19</v>
      </c>
      <c r="B34" s="54" t="s">
        <v>85</v>
      </c>
      <c r="C34" s="99">
        <v>78272.833333333328</v>
      </c>
      <c r="D34" s="76"/>
      <c r="E34" s="76"/>
      <c r="F34" s="76"/>
      <c r="G34" s="76"/>
      <c r="H34" s="76"/>
      <c r="I34" s="76">
        <f t="shared" si="3"/>
        <v>78272.833333333328</v>
      </c>
      <c r="J34" s="244">
        <v>41431.490000000005</v>
      </c>
      <c r="K34" s="122">
        <f t="shared" si="5"/>
        <v>36841.343333333323</v>
      </c>
      <c r="L34" s="132">
        <f t="shared" si="4"/>
        <v>9.1335895556602809E-3</v>
      </c>
      <c r="N34" s="149"/>
    </row>
    <row r="35" spans="1:14">
      <c r="A35" s="53" t="s">
        <v>20</v>
      </c>
      <c r="B35" s="54" t="s">
        <v>83</v>
      </c>
      <c r="C35" s="99">
        <v>4800</v>
      </c>
      <c r="D35" s="76"/>
      <c r="E35" s="76"/>
      <c r="F35" s="76"/>
      <c r="G35" s="76"/>
      <c r="H35" s="76"/>
      <c r="I35" s="76">
        <f t="shared" si="3"/>
        <v>4800</v>
      </c>
      <c r="J35" s="244">
        <v>0</v>
      </c>
      <c r="K35" s="122">
        <f t="shared" si="5"/>
        <v>4800</v>
      </c>
      <c r="L35" s="132">
        <f t="shared" si="4"/>
        <v>0</v>
      </c>
      <c r="N35" s="149"/>
    </row>
    <row r="36" spans="1:14">
      <c r="A36" s="53"/>
      <c r="B36" s="54"/>
      <c r="C36" s="99"/>
      <c r="D36" s="76"/>
      <c r="E36" s="76"/>
      <c r="F36" s="76"/>
      <c r="G36" s="76"/>
      <c r="H36" s="76"/>
      <c r="I36" s="76"/>
      <c r="J36" s="244"/>
      <c r="K36" s="122"/>
      <c r="L36" s="132"/>
      <c r="N36" s="149"/>
    </row>
    <row r="37" spans="1:14">
      <c r="A37" s="59">
        <v>1</v>
      </c>
      <c r="B37" s="59" t="s">
        <v>10</v>
      </c>
      <c r="C37" s="99"/>
      <c r="D37" s="76"/>
      <c r="E37" s="76"/>
      <c r="F37" s="76"/>
      <c r="G37" s="76"/>
      <c r="H37" s="76"/>
      <c r="I37" s="76"/>
      <c r="J37" s="248"/>
      <c r="K37" s="122">
        <f t="shared" si="5"/>
        <v>0</v>
      </c>
      <c r="L37" s="132"/>
      <c r="N37" s="149"/>
    </row>
    <row r="38" spans="1:14">
      <c r="A38" s="60">
        <v>111</v>
      </c>
      <c r="B38" s="54" t="s">
        <v>44</v>
      </c>
      <c r="C38" s="99">
        <v>13125</v>
      </c>
      <c r="D38" s="76"/>
      <c r="E38" s="76"/>
      <c r="F38" s="76"/>
      <c r="G38" s="76"/>
      <c r="H38" s="76"/>
      <c r="I38" s="76">
        <f t="shared" si="3"/>
        <v>13125</v>
      </c>
      <c r="J38" s="244">
        <v>6450.43</v>
      </c>
      <c r="K38" s="122">
        <f t="shared" si="5"/>
        <v>6674.57</v>
      </c>
      <c r="L38" s="132">
        <f t="shared" ref="L38:L70" si="6">J38/$J$116</f>
        <v>1.4220000313171874E-3</v>
      </c>
      <c r="N38" s="149"/>
    </row>
    <row r="39" spans="1:14">
      <c r="A39" s="60">
        <v>113</v>
      </c>
      <c r="B39" s="54" t="s">
        <v>53</v>
      </c>
      <c r="C39" s="99">
        <v>24780</v>
      </c>
      <c r="D39" s="76"/>
      <c r="E39" s="76"/>
      <c r="F39" s="76"/>
      <c r="G39" s="76"/>
      <c r="H39" s="76"/>
      <c r="I39" s="76">
        <f t="shared" si="3"/>
        <v>24780</v>
      </c>
      <c r="J39" s="244">
        <v>16882</v>
      </c>
      <c r="K39" s="122">
        <f t="shared" si="5"/>
        <v>7898</v>
      </c>
      <c r="L39" s="132">
        <f t="shared" si="6"/>
        <v>3.7216440653873861E-3</v>
      </c>
      <c r="N39" s="149"/>
    </row>
    <row r="40" spans="1:14">
      <c r="A40" s="60">
        <v>114</v>
      </c>
      <c r="B40" s="54" t="s">
        <v>124</v>
      </c>
      <c r="C40" s="99">
        <v>5000</v>
      </c>
      <c r="D40" s="76"/>
      <c r="E40" s="76"/>
      <c r="F40" s="76"/>
      <c r="G40" s="76"/>
      <c r="H40" s="76"/>
      <c r="I40" s="76">
        <f t="shared" si="3"/>
        <v>5000</v>
      </c>
      <c r="J40" s="244">
        <v>557</v>
      </c>
      <c r="K40" s="122">
        <f t="shared" si="5"/>
        <v>4443</v>
      </c>
      <c r="L40" s="132">
        <f t="shared" si="6"/>
        <v>1.2279088641279316E-4</v>
      </c>
      <c r="N40" s="149"/>
    </row>
    <row r="41" spans="1:14">
      <c r="A41" s="60">
        <v>121</v>
      </c>
      <c r="B41" s="54" t="s">
        <v>55</v>
      </c>
      <c r="C41" s="99">
        <v>20000</v>
      </c>
      <c r="D41" s="76">
        <v>30000</v>
      </c>
      <c r="E41" s="76"/>
      <c r="F41" s="76"/>
      <c r="G41" s="76"/>
      <c r="H41" s="76"/>
      <c r="I41" s="76">
        <f t="shared" si="3"/>
        <v>50000</v>
      </c>
      <c r="J41" s="244">
        <v>23304</v>
      </c>
      <c r="K41" s="122">
        <f t="shared" si="5"/>
        <v>26696</v>
      </c>
      <c r="L41" s="132">
        <f t="shared" si="6"/>
        <v>5.1373766911377589E-3</v>
      </c>
      <c r="N41" s="149"/>
    </row>
    <row r="42" spans="1:14">
      <c r="A42" s="60">
        <v>122</v>
      </c>
      <c r="B42" s="54" t="s">
        <v>86</v>
      </c>
      <c r="C42" s="99">
        <v>17950</v>
      </c>
      <c r="D42" s="76">
        <v>10000</v>
      </c>
      <c r="E42" s="76"/>
      <c r="F42" s="76"/>
      <c r="G42" s="76"/>
      <c r="H42" s="76"/>
      <c r="I42" s="76">
        <f t="shared" si="3"/>
        <v>27950</v>
      </c>
      <c r="J42" s="244">
        <v>23986.5</v>
      </c>
      <c r="K42" s="122">
        <f t="shared" si="5"/>
        <v>3963.5</v>
      </c>
      <c r="L42" s="132">
        <f t="shared" si="6"/>
        <v>5.2878341058177078E-3</v>
      </c>
      <c r="M42" s="159"/>
      <c r="N42" s="149"/>
    </row>
    <row r="43" spans="1:14">
      <c r="A43" s="60">
        <v>131</v>
      </c>
      <c r="B43" s="54" t="s">
        <v>56</v>
      </c>
      <c r="C43" s="99">
        <v>1102000</v>
      </c>
      <c r="D43" s="76">
        <v>375000</v>
      </c>
      <c r="E43" s="76"/>
      <c r="F43" s="76">
        <v>365000</v>
      </c>
      <c r="G43" s="76"/>
      <c r="H43" s="76"/>
      <c r="I43" s="76">
        <f t="shared" si="3"/>
        <v>1842000</v>
      </c>
      <c r="J43" s="244">
        <v>1793864.3599999999</v>
      </c>
      <c r="K43" s="122">
        <f t="shared" si="5"/>
        <v>48135.64000000013</v>
      </c>
      <c r="L43" s="132">
        <f t="shared" si="6"/>
        <v>0.39545815954886515</v>
      </c>
      <c r="N43" s="149"/>
    </row>
    <row r="44" spans="1:14">
      <c r="A44" s="60">
        <v>133</v>
      </c>
      <c r="B44" s="54" t="s">
        <v>57</v>
      </c>
      <c r="C44" s="99">
        <v>4546.67</v>
      </c>
      <c r="D44" s="76"/>
      <c r="E44" s="76"/>
      <c r="F44" s="76"/>
      <c r="G44" s="76"/>
      <c r="H44" s="76"/>
      <c r="I44" s="76">
        <f t="shared" si="3"/>
        <v>4546.67</v>
      </c>
      <c r="J44" s="244">
        <v>0</v>
      </c>
      <c r="K44" s="122">
        <f t="shared" si="5"/>
        <v>4546.67</v>
      </c>
      <c r="L44" s="132">
        <f t="shared" si="6"/>
        <v>0</v>
      </c>
      <c r="N44" s="149"/>
    </row>
    <row r="45" spans="1:14">
      <c r="A45" s="60">
        <v>134</v>
      </c>
      <c r="B45" s="54" t="s">
        <v>87</v>
      </c>
      <c r="C45" s="99">
        <v>0</v>
      </c>
      <c r="D45" s="76"/>
      <c r="E45" s="76"/>
      <c r="F45" s="76"/>
      <c r="G45" s="76"/>
      <c r="H45" s="76"/>
      <c r="I45" s="76">
        <f t="shared" si="3"/>
        <v>0</v>
      </c>
      <c r="J45" s="244">
        <v>0</v>
      </c>
      <c r="K45" s="122">
        <f t="shared" si="5"/>
        <v>0</v>
      </c>
      <c r="L45" s="132">
        <f t="shared" si="6"/>
        <v>0</v>
      </c>
      <c r="N45" s="149"/>
    </row>
    <row r="46" spans="1:14">
      <c r="A46" s="60">
        <v>135</v>
      </c>
      <c r="B46" s="54" t="s">
        <v>102</v>
      </c>
      <c r="C46" s="99">
        <v>124000</v>
      </c>
      <c r="D46" s="76"/>
      <c r="E46" s="76"/>
      <c r="F46" s="76">
        <v>70000</v>
      </c>
      <c r="G46" s="76"/>
      <c r="H46" s="76"/>
      <c r="I46" s="76">
        <f>C46+D46-E46+F46-G46</f>
        <v>194000</v>
      </c>
      <c r="J46" s="244">
        <v>142758.63000000003</v>
      </c>
      <c r="K46" s="122">
        <f t="shared" si="5"/>
        <v>51241.369999999966</v>
      </c>
      <c r="L46" s="132">
        <f t="shared" si="6"/>
        <v>3.1471200575899409E-2</v>
      </c>
      <c r="N46" s="149"/>
    </row>
    <row r="47" spans="1:14">
      <c r="A47" s="60">
        <v>141</v>
      </c>
      <c r="B47" s="54" t="s">
        <v>76</v>
      </c>
      <c r="C47" s="99">
        <v>374045.69</v>
      </c>
      <c r="D47" s="76">
        <v>77000</v>
      </c>
      <c r="E47" s="76"/>
      <c r="F47" s="76">
        <v>223000</v>
      </c>
      <c r="G47" s="76"/>
      <c r="H47" s="76"/>
      <c r="I47" s="76">
        <f t="shared" si="3"/>
        <v>674045.69</v>
      </c>
      <c r="J47" s="244">
        <v>500373.26000000007</v>
      </c>
      <c r="K47" s="122">
        <f t="shared" si="5"/>
        <v>173672.42999999988</v>
      </c>
      <c r="L47" s="132">
        <f t="shared" si="6"/>
        <v>0.11030749754516882</v>
      </c>
      <c r="N47" s="149"/>
    </row>
    <row r="48" spans="1:14">
      <c r="A48" s="60">
        <v>142</v>
      </c>
      <c r="B48" s="54" t="s">
        <v>23</v>
      </c>
      <c r="C48" s="99">
        <v>32600</v>
      </c>
      <c r="D48" s="76"/>
      <c r="E48" s="76"/>
      <c r="F48" s="76"/>
      <c r="G48" s="76"/>
      <c r="H48" s="76"/>
      <c r="I48" s="76">
        <f t="shared" si="3"/>
        <v>32600</v>
      </c>
      <c r="J48" s="244">
        <v>0</v>
      </c>
      <c r="K48" s="122">
        <f t="shared" si="5"/>
        <v>32600</v>
      </c>
      <c r="L48" s="132">
        <f t="shared" si="6"/>
        <v>0</v>
      </c>
      <c r="N48" s="149"/>
    </row>
    <row r="49" spans="1:14">
      <c r="A49" s="60">
        <v>143</v>
      </c>
      <c r="B49" s="54" t="s">
        <v>127</v>
      </c>
      <c r="C49" s="99">
        <v>37071.31</v>
      </c>
      <c r="D49" s="76"/>
      <c r="E49" s="76"/>
      <c r="F49" s="76"/>
      <c r="G49" s="76"/>
      <c r="H49" s="76"/>
      <c r="I49" s="76">
        <f t="shared" si="3"/>
        <v>37071.31</v>
      </c>
      <c r="J49" s="244">
        <v>36462.980000000003</v>
      </c>
      <c r="K49" s="122">
        <f t="shared" si="5"/>
        <v>608.32999999999447</v>
      </c>
      <c r="L49" s="132">
        <f t="shared" si="6"/>
        <v>8.0382794173284554E-3</v>
      </c>
      <c r="N49" s="149"/>
    </row>
    <row r="50" spans="1:14">
      <c r="A50" s="60">
        <v>151</v>
      </c>
      <c r="B50" s="54" t="s">
        <v>139</v>
      </c>
      <c r="C50" s="99">
        <v>70560</v>
      </c>
      <c r="D50" s="76"/>
      <c r="E50" s="76"/>
      <c r="F50" s="76"/>
      <c r="G50" s="76"/>
      <c r="H50" s="76"/>
      <c r="I50" s="76">
        <f t="shared" si="3"/>
        <v>70560</v>
      </c>
      <c r="J50" s="244">
        <v>52657.5</v>
      </c>
      <c r="K50" s="122">
        <f t="shared" si="5"/>
        <v>17902.5</v>
      </c>
      <c r="L50" s="132">
        <f t="shared" si="6"/>
        <v>1.1608368224922182E-2</v>
      </c>
      <c r="N50" s="149"/>
    </row>
    <row r="51" spans="1:14">
      <c r="A51" s="60">
        <v>155</v>
      </c>
      <c r="B51" s="54" t="s">
        <v>36</v>
      </c>
      <c r="C51" s="99">
        <v>0</v>
      </c>
      <c r="D51" s="76"/>
      <c r="E51" s="76"/>
      <c r="F51" s="76"/>
      <c r="G51" s="76"/>
      <c r="H51" s="76"/>
      <c r="I51" s="76">
        <f t="shared" si="3"/>
        <v>0</v>
      </c>
      <c r="J51" s="244">
        <v>0</v>
      </c>
      <c r="K51" s="122">
        <f t="shared" si="5"/>
        <v>0</v>
      </c>
      <c r="L51" s="132">
        <f t="shared" si="6"/>
        <v>0</v>
      </c>
      <c r="N51" s="149"/>
    </row>
    <row r="52" spans="1:14">
      <c r="A52" s="60">
        <v>158</v>
      </c>
      <c r="B52" s="54" t="s">
        <v>103</v>
      </c>
      <c r="C52" s="99">
        <v>4000</v>
      </c>
      <c r="D52" s="76">
        <v>2550</v>
      </c>
      <c r="E52" s="76"/>
      <c r="F52" s="76"/>
      <c r="G52" s="76"/>
      <c r="H52" s="76"/>
      <c r="I52" s="76">
        <f>C52+D52-E52+F52-G52</f>
        <v>6550</v>
      </c>
      <c r="J52" s="244">
        <v>5250</v>
      </c>
      <c r="K52" s="122">
        <f t="shared" si="5"/>
        <v>1300</v>
      </c>
      <c r="L52" s="132">
        <f t="shared" si="6"/>
        <v>1.1573647283072963E-3</v>
      </c>
      <c r="N52" s="149"/>
    </row>
    <row r="53" spans="1:14">
      <c r="A53" s="60">
        <v>162</v>
      </c>
      <c r="B53" s="54" t="s">
        <v>58</v>
      </c>
      <c r="C53" s="99">
        <v>1350</v>
      </c>
      <c r="D53" s="76"/>
      <c r="E53" s="76"/>
      <c r="F53" s="76"/>
      <c r="G53" s="76"/>
      <c r="H53" s="76"/>
      <c r="I53" s="76">
        <f t="shared" si="3"/>
        <v>1350</v>
      </c>
      <c r="J53" s="244">
        <v>0</v>
      </c>
      <c r="K53" s="122">
        <f t="shared" si="5"/>
        <v>1350</v>
      </c>
      <c r="L53" s="132">
        <f t="shared" si="6"/>
        <v>0</v>
      </c>
      <c r="N53" s="149"/>
    </row>
    <row r="54" spans="1:14">
      <c r="A54" s="60">
        <v>164</v>
      </c>
      <c r="B54" s="54" t="s">
        <v>45</v>
      </c>
      <c r="C54" s="99">
        <v>12500</v>
      </c>
      <c r="D54" s="76"/>
      <c r="E54" s="76"/>
      <c r="F54" s="76"/>
      <c r="G54" s="76"/>
      <c r="H54" s="76"/>
      <c r="I54" s="76">
        <f t="shared" si="3"/>
        <v>12500</v>
      </c>
      <c r="J54" s="244">
        <v>5250</v>
      </c>
      <c r="K54" s="122">
        <f t="shared" si="5"/>
        <v>7250</v>
      </c>
      <c r="L54" s="132">
        <f t="shared" si="6"/>
        <v>1.1573647283072963E-3</v>
      </c>
      <c r="N54" s="149"/>
    </row>
    <row r="55" spans="1:14">
      <c r="A55" s="60">
        <v>165</v>
      </c>
      <c r="B55" s="54" t="s">
        <v>104</v>
      </c>
      <c r="C55" s="99">
        <v>6900</v>
      </c>
      <c r="D55" s="76"/>
      <c r="E55" s="76"/>
      <c r="F55" s="76"/>
      <c r="G55" s="76"/>
      <c r="H55" s="76"/>
      <c r="I55" s="76">
        <f>C55+D55-E55+F55-G55</f>
        <v>6900</v>
      </c>
      <c r="J55" s="244">
        <v>948.60000000000014</v>
      </c>
      <c r="K55" s="122">
        <f t="shared" si="5"/>
        <v>5951.4</v>
      </c>
      <c r="L55" s="132">
        <f t="shared" si="6"/>
        <v>2.0911927262329554E-4</v>
      </c>
      <c r="N55" s="149"/>
    </row>
    <row r="56" spans="1:14">
      <c r="A56" s="60">
        <v>168</v>
      </c>
      <c r="B56" s="54" t="s">
        <v>59</v>
      </c>
      <c r="C56" s="99">
        <v>5500</v>
      </c>
      <c r="D56" s="76"/>
      <c r="E56" s="76"/>
      <c r="F56" s="76"/>
      <c r="G56" s="76"/>
      <c r="H56" s="76"/>
      <c r="I56" s="76">
        <f t="shared" si="3"/>
        <v>5500</v>
      </c>
      <c r="J56" s="244">
        <v>1740</v>
      </c>
      <c r="K56" s="122">
        <f t="shared" si="5"/>
        <v>3760</v>
      </c>
      <c r="L56" s="132">
        <f t="shared" si="6"/>
        <v>3.8358373852470396E-4</v>
      </c>
      <c r="N56" s="149"/>
    </row>
    <row r="57" spans="1:14">
      <c r="A57" s="60">
        <v>174</v>
      </c>
      <c r="B57" s="54" t="s">
        <v>46</v>
      </c>
      <c r="C57" s="99">
        <v>5000</v>
      </c>
      <c r="D57" s="76"/>
      <c r="E57" s="76"/>
      <c r="F57" s="76"/>
      <c r="G57" s="76"/>
      <c r="H57" s="76"/>
      <c r="I57" s="76">
        <f t="shared" si="3"/>
        <v>5000</v>
      </c>
      <c r="J57" s="244">
        <v>590</v>
      </c>
      <c r="K57" s="122">
        <f t="shared" si="5"/>
        <v>4410</v>
      </c>
      <c r="L57" s="132">
        <f t="shared" si="6"/>
        <v>1.3006575041929616E-4</v>
      </c>
      <c r="N57" s="149"/>
    </row>
    <row r="58" spans="1:14">
      <c r="A58" s="60">
        <v>182</v>
      </c>
      <c r="B58" s="54" t="s">
        <v>61</v>
      </c>
      <c r="C58" s="99">
        <v>0</v>
      </c>
      <c r="D58" s="76"/>
      <c r="E58" s="76"/>
      <c r="F58" s="76"/>
      <c r="G58" s="76"/>
      <c r="H58" s="76"/>
      <c r="I58" s="76">
        <f t="shared" si="3"/>
        <v>0</v>
      </c>
      <c r="J58" s="244">
        <v>0</v>
      </c>
      <c r="K58" s="122">
        <f t="shared" si="5"/>
        <v>0</v>
      </c>
      <c r="L58" s="132">
        <f t="shared" si="6"/>
        <v>0</v>
      </c>
      <c r="N58" s="149"/>
    </row>
    <row r="59" spans="1:14">
      <c r="A59" s="60">
        <v>183</v>
      </c>
      <c r="B59" s="54" t="s">
        <v>105</v>
      </c>
      <c r="C59" s="99">
        <v>160000</v>
      </c>
      <c r="D59" s="76"/>
      <c r="E59" s="76"/>
      <c r="F59" s="76"/>
      <c r="G59" s="76">
        <v>75000</v>
      </c>
      <c r="H59" s="76"/>
      <c r="I59" s="76">
        <f>C59+D59-E59+F59-G59</f>
        <v>85000</v>
      </c>
      <c r="J59" s="244">
        <v>31842</v>
      </c>
      <c r="K59" s="122">
        <f t="shared" si="5"/>
        <v>53158</v>
      </c>
      <c r="L59" s="132">
        <f t="shared" si="6"/>
        <v>7.0195824150020821E-3</v>
      </c>
      <c r="N59" s="149"/>
    </row>
    <row r="60" spans="1:14">
      <c r="A60" s="60">
        <v>184</v>
      </c>
      <c r="B60" s="54" t="s">
        <v>106</v>
      </c>
      <c r="C60" s="99">
        <v>42000</v>
      </c>
      <c r="D60" s="76"/>
      <c r="E60" s="76"/>
      <c r="F60" s="76"/>
      <c r="G60" s="76"/>
      <c r="H60" s="76"/>
      <c r="I60" s="76">
        <f t="shared" si="3"/>
        <v>42000</v>
      </c>
      <c r="J60" s="244">
        <v>27820.83</v>
      </c>
      <c r="K60" s="122">
        <f t="shared" si="5"/>
        <v>14179.169999999998</v>
      </c>
      <c r="L60" s="132">
        <f t="shared" si="6"/>
        <v>6.1331137817587584E-3</v>
      </c>
      <c r="N60" s="149"/>
    </row>
    <row r="61" spans="1:14">
      <c r="A61" s="60">
        <v>185</v>
      </c>
      <c r="B61" s="54" t="s">
        <v>107</v>
      </c>
      <c r="C61" s="99">
        <v>69000</v>
      </c>
      <c r="D61" s="76"/>
      <c r="E61" s="76"/>
      <c r="F61" s="76"/>
      <c r="G61" s="76">
        <v>40000</v>
      </c>
      <c r="H61" s="76"/>
      <c r="I61" s="76">
        <f>C61+D61-E61+F61-G61</f>
        <v>29000</v>
      </c>
      <c r="J61" s="244">
        <v>0</v>
      </c>
      <c r="K61" s="122">
        <f t="shared" si="5"/>
        <v>29000</v>
      </c>
      <c r="L61" s="132">
        <f t="shared" si="6"/>
        <v>0</v>
      </c>
      <c r="N61" s="149"/>
    </row>
    <row r="62" spans="1:14">
      <c r="A62" s="60">
        <v>186</v>
      </c>
      <c r="B62" s="54" t="s">
        <v>47</v>
      </c>
      <c r="C62" s="99">
        <v>2000</v>
      </c>
      <c r="D62" s="76"/>
      <c r="E62" s="76"/>
      <c r="F62" s="76"/>
      <c r="G62" s="76"/>
      <c r="H62" s="76"/>
      <c r="I62" s="76">
        <f t="shared" si="3"/>
        <v>2000</v>
      </c>
      <c r="J62" s="244">
        <v>1055</v>
      </c>
      <c r="K62" s="122">
        <f t="shared" si="5"/>
        <v>945</v>
      </c>
      <c r="L62" s="132">
        <f t="shared" si="6"/>
        <v>2.325751977836567E-4</v>
      </c>
      <c r="N62" s="149"/>
    </row>
    <row r="63" spans="1:14">
      <c r="A63" s="60">
        <v>187</v>
      </c>
      <c r="B63" s="54" t="s">
        <v>108</v>
      </c>
      <c r="C63" s="99">
        <v>51600</v>
      </c>
      <c r="D63" s="76"/>
      <c r="E63" s="76"/>
      <c r="F63" s="76"/>
      <c r="G63" s="76">
        <v>30000</v>
      </c>
      <c r="H63" s="76"/>
      <c r="I63" s="76">
        <f>C63+D63-E63+F63-G63</f>
        <v>21600</v>
      </c>
      <c r="J63" s="244">
        <v>3200</v>
      </c>
      <c r="K63" s="122">
        <f t="shared" si="5"/>
        <v>18400</v>
      </c>
      <c r="L63" s="132">
        <f t="shared" si="6"/>
        <v>7.0544135820635207E-4</v>
      </c>
      <c r="N63" s="149"/>
    </row>
    <row r="64" spans="1:14">
      <c r="A64" s="60">
        <v>188</v>
      </c>
      <c r="B64" s="54" t="s">
        <v>109</v>
      </c>
      <c r="C64" s="99">
        <v>0</v>
      </c>
      <c r="D64" s="76"/>
      <c r="E64" s="76"/>
      <c r="F64" s="76"/>
      <c r="G64" s="76"/>
      <c r="H64" s="76"/>
      <c r="I64" s="76">
        <f t="shared" si="3"/>
        <v>0</v>
      </c>
      <c r="J64" s="244">
        <v>0</v>
      </c>
      <c r="K64" s="122">
        <f t="shared" si="5"/>
        <v>0</v>
      </c>
      <c r="L64" s="132">
        <f t="shared" si="6"/>
        <v>0</v>
      </c>
      <c r="N64" s="149"/>
    </row>
    <row r="65" spans="1:14">
      <c r="A65" s="60">
        <v>189</v>
      </c>
      <c r="B65" s="54" t="s">
        <v>110</v>
      </c>
      <c r="C65" s="99">
        <v>0</v>
      </c>
      <c r="D65" s="76">
        <v>275000</v>
      </c>
      <c r="E65" s="76"/>
      <c r="F65" s="76"/>
      <c r="G65" s="76">
        <v>10000</v>
      </c>
      <c r="H65" s="76"/>
      <c r="I65" s="76">
        <f>C65+D65-E65+F65-G65</f>
        <v>265000</v>
      </c>
      <c r="J65" s="244">
        <v>135529.02000000002</v>
      </c>
      <c r="K65" s="122">
        <f t="shared" si="5"/>
        <v>129470.97999999998</v>
      </c>
      <c r="L65" s="132">
        <f t="shared" si="6"/>
        <v>2.9877429982867462E-2</v>
      </c>
      <c r="N65" s="149"/>
    </row>
    <row r="66" spans="1:14">
      <c r="A66" s="60">
        <v>191</v>
      </c>
      <c r="B66" s="54" t="s">
        <v>111</v>
      </c>
      <c r="C66" s="99">
        <v>9000</v>
      </c>
      <c r="D66" s="76">
        <v>4000</v>
      </c>
      <c r="E66" s="76"/>
      <c r="F66" s="205"/>
      <c r="G66" s="76"/>
      <c r="H66" s="76"/>
      <c r="I66" s="76">
        <f t="shared" si="3"/>
        <v>13000</v>
      </c>
      <c r="J66" s="244">
        <v>8986.27</v>
      </c>
      <c r="K66" s="122">
        <f t="shared" si="5"/>
        <v>4013.7299999999996</v>
      </c>
      <c r="L66" s="132">
        <f t="shared" si="6"/>
        <v>1.9810270356278113E-3</v>
      </c>
      <c r="N66" s="149"/>
    </row>
    <row r="67" spans="1:14">
      <c r="A67" s="60">
        <v>194</v>
      </c>
      <c r="B67" s="54" t="s">
        <v>112</v>
      </c>
      <c r="C67" s="99">
        <v>1080</v>
      </c>
      <c r="D67" s="76">
        <v>5000</v>
      </c>
      <c r="E67" s="76"/>
      <c r="F67" s="76"/>
      <c r="G67" s="76"/>
      <c r="H67" s="76"/>
      <c r="I67" s="206">
        <f>C67+D67-E67+F67-G67</f>
        <v>6080</v>
      </c>
      <c r="J67" s="244">
        <v>1299.98</v>
      </c>
      <c r="K67" s="122">
        <f t="shared" si="5"/>
        <v>4780.0200000000004</v>
      </c>
      <c r="L67" s="132">
        <f t="shared" si="6"/>
        <v>2.8658114276284175E-4</v>
      </c>
      <c r="N67" s="149"/>
    </row>
    <row r="68" spans="1:14">
      <c r="A68" s="60">
        <v>195</v>
      </c>
      <c r="B68" s="54" t="s">
        <v>37</v>
      </c>
      <c r="C68" s="99">
        <v>10000</v>
      </c>
      <c r="D68" s="76"/>
      <c r="E68" s="76"/>
      <c r="F68" s="76"/>
      <c r="G68" s="76"/>
      <c r="H68" s="76"/>
      <c r="I68" s="76">
        <f t="shared" si="3"/>
        <v>10000</v>
      </c>
      <c r="J68" s="244">
        <v>5554.68</v>
      </c>
      <c r="K68" s="122">
        <f t="shared" si="5"/>
        <v>4445.32</v>
      </c>
      <c r="L68" s="132">
        <f t="shared" si="6"/>
        <v>1.2245315636255187E-3</v>
      </c>
      <c r="N68" s="149"/>
    </row>
    <row r="69" spans="1:14">
      <c r="A69" s="60">
        <v>196</v>
      </c>
      <c r="B69" s="54" t="s">
        <v>113</v>
      </c>
      <c r="C69" s="99">
        <v>31300</v>
      </c>
      <c r="D69" s="76"/>
      <c r="E69" s="76"/>
      <c r="F69" s="76"/>
      <c r="G69" s="76"/>
      <c r="H69" s="76"/>
      <c r="I69" s="76">
        <f>C69+D69-E69+F69-G69</f>
        <v>31300</v>
      </c>
      <c r="J69" s="244">
        <v>6412.5</v>
      </c>
      <c r="K69" s="122">
        <f t="shared" si="5"/>
        <v>24887.5</v>
      </c>
      <c r="L69" s="132">
        <f t="shared" si="6"/>
        <v>1.4136383467181978E-3</v>
      </c>
      <c r="N69" s="149"/>
    </row>
    <row r="70" spans="1:14">
      <c r="A70" s="60">
        <v>199</v>
      </c>
      <c r="B70" s="54" t="s">
        <v>60</v>
      </c>
      <c r="C70" s="99">
        <v>26043.75</v>
      </c>
      <c r="D70" s="76"/>
      <c r="E70" s="76"/>
      <c r="F70" s="76"/>
      <c r="G70" s="76"/>
      <c r="H70" s="76"/>
      <c r="I70" s="76">
        <f t="shared" si="3"/>
        <v>26043.75</v>
      </c>
      <c r="J70" s="244">
        <v>2186.5</v>
      </c>
      <c r="K70" s="122">
        <f t="shared" si="5"/>
        <v>23857.25</v>
      </c>
      <c r="L70" s="132">
        <f t="shared" si="6"/>
        <v>4.8201485303693401E-4</v>
      </c>
      <c r="N70" s="149"/>
    </row>
    <row r="71" spans="1:14">
      <c r="A71" s="60"/>
      <c r="B71" s="54"/>
      <c r="C71" s="99"/>
      <c r="D71" s="76"/>
      <c r="E71" s="76"/>
      <c r="F71" s="76"/>
      <c r="G71" s="76"/>
      <c r="H71" s="76"/>
      <c r="I71" s="76"/>
      <c r="J71" s="244"/>
      <c r="K71" s="122"/>
      <c r="L71" s="132"/>
      <c r="N71" s="149"/>
    </row>
    <row r="72" spans="1:14">
      <c r="A72" s="59">
        <v>2</v>
      </c>
      <c r="B72" s="59" t="s">
        <v>11</v>
      </c>
      <c r="C72" s="99"/>
      <c r="D72" s="76"/>
      <c r="E72" s="76"/>
      <c r="F72" s="76"/>
      <c r="G72" s="76"/>
      <c r="H72" s="76"/>
      <c r="I72" s="76"/>
      <c r="J72" s="248"/>
      <c r="K72" s="122">
        <f t="shared" si="5"/>
        <v>0</v>
      </c>
      <c r="L72" s="132">
        <f t="shared" ref="L72:L98" si="7">J72/$J$116</f>
        <v>0</v>
      </c>
      <c r="N72" s="149"/>
    </row>
    <row r="73" spans="1:14">
      <c r="A73" s="60">
        <v>211</v>
      </c>
      <c r="B73" s="54" t="s">
        <v>24</v>
      </c>
      <c r="C73" s="99">
        <v>66744.479999999996</v>
      </c>
      <c r="D73" s="76"/>
      <c r="E73" s="76"/>
      <c r="F73" s="76"/>
      <c r="G73" s="76"/>
      <c r="H73" s="76"/>
      <c r="I73" s="76">
        <f t="shared" si="3"/>
        <v>66744.479999999996</v>
      </c>
      <c r="J73" s="244">
        <v>55725.45</v>
      </c>
      <c r="K73" s="122">
        <f t="shared" si="5"/>
        <v>11019.029999999999</v>
      </c>
      <c r="L73" s="132">
        <f t="shared" si="7"/>
        <v>1.22846991045813E-2</v>
      </c>
      <c r="N73" s="149"/>
    </row>
    <row r="74" spans="1:14">
      <c r="A74" s="60">
        <v>219</v>
      </c>
      <c r="B74" s="54" t="s">
        <v>25</v>
      </c>
      <c r="C74" s="99">
        <v>0</v>
      </c>
      <c r="D74" s="76"/>
      <c r="E74" s="76"/>
      <c r="F74" s="76"/>
      <c r="G74" s="76"/>
      <c r="H74" s="76"/>
      <c r="I74" s="76">
        <f t="shared" si="3"/>
        <v>0</v>
      </c>
      <c r="J74" s="244">
        <v>0</v>
      </c>
      <c r="K74" s="122">
        <f t="shared" si="5"/>
        <v>0</v>
      </c>
      <c r="L74" s="132">
        <f t="shared" si="7"/>
        <v>0</v>
      </c>
      <c r="N74" s="149"/>
    </row>
    <row r="75" spans="1:14">
      <c r="A75" s="60">
        <v>232</v>
      </c>
      <c r="B75" s="54" t="s">
        <v>62</v>
      </c>
      <c r="C75" s="99">
        <v>1140</v>
      </c>
      <c r="D75" s="76"/>
      <c r="E75" s="76"/>
      <c r="F75" s="76"/>
      <c r="G75" s="76"/>
      <c r="H75" s="76"/>
      <c r="I75" s="76">
        <f t="shared" si="3"/>
        <v>1140</v>
      </c>
      <c r="J75" s="244">
        <v>540</v>
      </c>
      <c r="K75" s="122">
        <f t="shared" si="5"/>
        <v>600</v>
      </c>
      <c r="L75" s="132">
        <f t="shared" si="7"/>
        <v>1.1904322919732192E-4</v>
      </c>
      <c r="N75" s="149"/>
    </row>
    <row r="76" spans="1:14">
      <c r="A76" s="60">
        <v>233</v>
      </c>
      <c r="B76" s="54" t="s">
        <v>75</v>
      </c>
      <c r="C76" s="99">
        <v>58000</v>
      </c>
      <c r="D76" s="76"/>
      <c r="E76" s="76"/>
      <c r="F76" s="76"/>
      <c r="G76" s="76">
        <v>5000</v>
      </c>
      <c r="H76" s="76"/>
      <c r="I76" s="206">
        <f t="shared" si="3"/>
        <v>53000</v>
      </c>
      <c r="J76" s="244">
        <v>25745</v>
      </c>
      <c r="K76" s="122">
        <f t="shared" si="5"/>
        <v>27255</v>
      </c>
      <c r="L76" s="132">
        <f t="shared" si="7"/>
        <v>5.6754961771945424E-3</v>
      </c>
      <c r="N76" s="149"/>
    </row>
    <row r="77" spans="1:14">
      <c r="A77" s="60">
        <v>241</v>
      </c>
      <c r="B77" s="54" t="s">
        <v>63</v>
      </c>
      <c r="C77" s="99">
        <v>3000</v>
      </c>
      <c r="D77" s="76">
        <v>3500</v>
      </c>
      <c r="E77" s="76"/>
      <c r="F77" s="76">
        <v>3250</v>
      </c>
      <c r="G77" s="76"/>
      <c r="H77" s="76"/>
      <c r="I77" s="76">
        <f t="shared" si="3"/>
        <v>9750</v>
      </c>
      <c r="J77" s="244">
        <v>5080.3</v>
      </c>
      <c r="K77" s="122">
        <f t="shared" si="5"/>
        <v>4669.7</v>
      </c>
      <c r="L77" s="132">
        <f t="shared" si="7"/>
        <v>1.1199542912799158E-3</v>
      </c>
      <c r="N77" s="149"/>
    </row>
    <row r="78" spans="1:14">
      <c r="A78" s="60">
        <v>243</v>
      </c>
      <c r="B78" s="54" t="s">
        <v>48</v>
      </c>
      <c r="C78" s="99">
        <v>350</v>
      </c>
      <c r="D78" s="76"/>
      <c r="E78" s="76"/>
      <c r="F78" s="76">
        <v>250</v>
      </c>
      <c r="G78" s="76"/>
      <c r="H78" s="76"/>
      <c r="I78" s="206">
        <f t="shared" si="3"/>
        <v>600</v>
      </c>
      <c r="J78" s="244">
        <v>119.2</v>
      </c>
      <c r="K78" s="122">
        <f t="shared" si="5"/>
        <v>480.8</v>
      </c>
      <c r="L78" s="132">
        <f t="shared" si="7"/>
        <v>2.6277690593186616E-5</v>
      </c>
      <c r="N78" s="149"/>
    </row>
    <row r="79" spans="1:14">
      <c r="A79" s="60">
        <v>244</v>
      </c>
      <c r="B79" s="54" t="s">
        <v>49</v>
      </c>
      <c r="C79" s="99">
        <v>1000</v>
      </c>
      <c r="D79" s="76"/>
      <c r="E79" s="76"/>
      <c r="F79" s="76"/>
      <c r="G79" s="76"/>
      <c r="H79" s="76"/>
      <c r="I79" s="206">
        <f t="shared" si="3"/>
        <v>1000</v>
      </c>
      <c r="J79" s="244">
        <v>771.1</v>
      </c>
      <c r="K79" s="122">
        <f t="shared" si="5"/>
        <v>228.89999999999998</v>
      </c>
      <c r="L79" s="132">
        <f t="shared" si="7"/>
        <v>1.6998932228528692E-4</v>
      </c>
      <c r="N79" s="149"/>
    </row>
    <row r="80" spans="1:14">
      <c r="A80" s="60">
        <v>245</v>
      </c>
      <c r="B80" s="54" t="s">
        <v>50</v>
      </c>
      <c r="C80" s="99">
        <v>1305</v>
      </c>
      <c r="D80" s="76"/>
      <c r="E80" s="76"/>
      <c r="F80" s="76"/>
      <c r="G80" s="76"/>
      <c r="H80" s="76"/>
      <c r="I80" s="76">
        <f t="shared" si="3"/>
        <v>1305</v>
      </c>
      <c r="J80" s="244">
        <v>0</v>
      </c>
      <c r="K80" s="122">
        <f t="shared" si="5"/>
        <v>1305</v>
      </c>
      <c r="L80" s="132">
        <f t="shared" si="7"/>
        <v>0</v>
      </c>
      <c r="N80" s="149"/>
    </row>
    <row r="81" spans="1:14">
      <c r="A81" s="60">
        <v>253</v>
      </c>
      <c r="B81" s="54" t="s">
        <v>41</v>
      </c>
      <c r="C81" s="99">
        <v>2500</v>
      </c>
      <c r="D81" s="76"/>
      <c r="E81" s="76"/>
      <c r="F81" s="76">
        <v>3000</v>
      </c>
      <c r="G81" s="76"/>
      <c r="H81" s="76"/>
      <c r="I81" s="206">
        <f t="shared" si="3"/>
        <v>5500</v>
      </c>
      <c r="J81" s="244">
        <v>50</v>
      </c>
      <c r="K81" s="122">
        <f t="shared" si="5"/>
        <v>5450</v>
      </c>
      <c r="L81" s="132">
        <f t="shared" si="7"/>
        <v>1.1022521221974251E-5</v>
      </c>
      <c r="N81" s="149"/>
    </row>
    <row r="82" spans="1:14">
      <c r="A82" s="60">
        <v>254</v>
      </c>
      <c r="B82" s="54" t="s">
        <v>51</v>
      </c>
      <c r="C82" s="99">
        <v>200</v>
      </c>
      <c r="D82" s="76">
        <v>500</v>
      </c>
      <c r="E82" s="76"/>
      <c r="F82" s="76"/>
      <c r="G82" s="76"/>
      <c r="H82" s="76"/>
      <c r="I82" s="76">
        <f t="shared" si="3"/>
        <v>700</v>
      </c>
      <c r="J82" s="244">
        <v>527.89</v>
      </c>
      <c r="K82" s="122">
        <f t="shared" si="5"/>
        <v>172.11</v>
      </c>
      <c r="L82" s="132">
        <f t="shared" si="7"/>
        <v>1.1637357455735976E-4</v>
      </c>
      <c r="N82" s="149"/>
    </row>
    <row r="83" spans="1:14">
      <c r="A83" s="60">
        <v>262</v>
      </c>
      <c r="B83" s="54" t="s">
        <v>64</v>
      </c>
      <c r="C83" s="99">
        <v>9770</v>
      </c>
      <c r="D83" s="76"/>
      <c r="E83" s="76"/>
      <c r="F83" s="76"/>
      <c r="G83" s="76"/>
      <c r="H83" s="76"/>
      <c r="I83" s="76">
        <f t="shared" si="3"/>
        <v>9770</v>
      </c>
      <c r="J83" s="244">
        <v>5429.82</v>
      </c>
      <c r="K83" s="122">
        <f t="shared" si="5"/>
        <v>4340.18</v>
      </c>
      <c r="L83" s="132">
        <f t="shared" si="7"/>
        <v>1.1970061236300045E-3</v>
      </c>
      <c r="N83" s="149"/>
    </row>
    <row r="84" spans="1:14">
      <c r="A84" s="60">
        <v>266</v>
      </c>
      <c r="B84" s="54" t="s">
        <v>65</v>
      </c>
      <c r="C84" s="99">
        <v>600</v>
      </c>
      <c r="D84" s="76"/>
      <c r="E84" s="76"/>
      <c r="F84" s="76"/>
      <c r="G84" s="76"/>
      <c r="H84" s="76"/>
      <c r="I84" s="76">
        <f t="shared" si="3"/>
        <v>600</v>
      </c>
      <c r="J84" s="244">
        <v>190</v>
      </c>
      <c r="K84" s="122">
        <f t="shared" si="5"/>
        <v>410</v>
      </c>
      <c r="L84" s="132">
        <f t="shared" si="7"/>
        <v>4.1885580643502154E-5</v>
      </c>
      <c r="N84" s="149"/>
    </row>
    <row r="85" spans="1:14">
      <c r="A85" s="60">
        <v>267</v>
      </c>
      <c r="B85" s="54" t="s">
        <v>93</v>
      </c>
      <c r="C85" s="99">
        <v>15000</v>
      </c>
      <c r="D85" s="76"/>
      <c r="E85" s="76"/>
      <c r="F85" s="76">
        <v>7000</v>
      </c>
      <c r="G85" s="76"/>
      <c r="H85" s="76"/>
      <c r="I85" s="76">
        <f t="shared" si="3"/>
        <v>22000</v>
      </c>
      <c r="J85" s="244">
        <v>17695</v>
      </c>
      <c r="K85" s="122">
        <f t="shared" si="5"/>
        <v>4305</v>
      </c>
      <c r="L85" s="132">
        <f t="shared" si="7"/>
        <v>3.9008702604566878E-3</v>
      </c>
      <c r="N85" s="149"/>
    </row>
    <row r="86" spans="1:14">
      <c r="A86" s="60">
        <v>268</v>
      </c>
      <c r="B86" s="54" t="s">
        <v>66</v>
      </c>
      <c r="C86" s="99">
        <v>1858</v>
      </c>
      <c r="D86" s="76"/>
      <c r="E86" s="76"/>
      <c r="F86" s="76"/>
      <c r="G86" s="76"/>
      <c r="H86" s="76"/>
      <c r="I86" s="76">
        <f t="shared" si="3"/>
        <v>1858</v>
      </c>
      <c r="J86" s="244">
        <v>1631.0500000000002</v>
      </c>
      <c r="K86" s="122">
        <f t="shared" si="5"/>
        <v>226.94999999999982</v>
      </c>
      <c r="L86" s="132">
        <f t="shared" si="7"/>
        <v>3.5956566478202208E-4</v>
      </c>
      <c r="N86" s="149"/>
    </row>
    <row r="87" spans="1:14">
      <c r="A87" s="60">
        <v>269</v>
      </c>
      <c r="B87" s="54" t="s">
        <v>67</v>
      </c>
      <c r="C87" s="99">
        <v>500</v>
      </c>
      <c r="D87" s="76"/>
      <c r="E87" s="76"/>
      <c r="F87" s="76"/>
      <c r="G87" s="76"/>
      <c r="H87" s="76"/>
      <c r="I87" s="76">
        <f t="shared" si="3"/>
        <v>500</v>
      </c>
      <c r="J87" s="244">
        <v>0</v>
      </c>
      <c r="K87" s="122">
        <f t="shared" si="5"/>
        <v>500</v>
      </c>
      <c r="L87" s="132">
        <f t="shared" si="7"/>
        <v>0</v>
      </c>
      <c r="N87" s="149"/>
    </row>
    <row r="88" spans="1:14">
      <c r="A88" s="60">
        <v>271</v>
      </c>
      <c r="B88" s="54" t="s">
        <v>68</v>
      </c>
      <c r="C88" s="99">
        <v>381250</v>
      </c>
      <c r="D88" s="76"/>
      <c r="E88" s="76"/>
      <c r="F88" s="76"/>
      <c r="G88" s="76">
        <v>300760</v>
      </c>
      <c r="H88" s="76"/>
      <c r="I88" s="76">
        <f t="shared" si="3"/>
        <v>80490</v>
      </c>
      <c r="J88" s="244">
        <v>76829.8</v>
      </c>
      <c r="K88" s="122">
        <f t="shared" si="5"/>
        <v>3660.1999999999971</v>
      </c>
      <c r="L88" s="132">
        <f t="shared" si="7"/>
        <v>1.6937162019600747E-2</v>
      </c>
      <c r="N88" s="149"/>
    </row>
    <row r="89" spans="1:14">
      <c r="A89" s="60">
        <v>283</v>
      </c>
      <c r="B89" s="54" t="s">
        <v>69</v>
      </c>
      <c r="C89" s="99">
        <v>1000</v>
      </c>
      <c r="D89" s="76"/>
      <c r="E89" s="76"/>
      <c r="F89" s="76"/>
      <c r="G89" s="76"/>
      <c r="H89" s="76"/>
      <c r="I89" s="76">
        <f t="shared" si="3"/>
        <v>1000</v>
      </c>
      <c r="J89" s="244">
        <v>31.2</v>
      </c>
      <c r="K89" s="122">
        <f t="shared" ref="K89:K105" si="8">I89-J89</f>
        <v>968.8</v>
      </c>
      <c r="L89" s="132">
        <f t="shared" si="7"/>
        <v>6.878053242511933E-6</v>
      </c>
      <c r="N89" s="149"/>
    </row>
    <row r="90" spans="1:14">
      <c r="A90" s="60">
        <v>284</v>
      </c>
      <c r="B90" s="54" t="s">
        <v>52</v>
      </c>
      <c r="C90" s="99">
        <v>5000</v>
      </c>
      <c r="D90" s="76">
        <v>7000</v>
      </c>
      <c r="E90" s="76"/>
      <c r="F90" s="76"/>
      <c r="G90" s="76"/>
      <c r="H90" s="76"/>
      <c r="I90" s="76">
        <f t="shared" si="3"/>
        <v>12000</v>
      </c>
      <c r="J90" s="244">
        <v>344.23</v>
      </c>
      <c r="K90" s="122">
        <f t="shared" si="8"/>
        <v>11655.77</v>
      </c>
      <c r="L90" s="132">
        <f t="shared" si="7"/>
        <v>7.5885649604803931E-5</v>
      </c>
      <c r="N90" s="149"/>
    </row>
    <row r="91" spans="1:14">
      <c r="A91" s="60">
        <v>285</v>
      </c>
      <c r="B91" s="54" t="s">
        <v>128</v>
      </c>
      <c r="C91" s="99">
        <v>1516915</v>
      </c>
      <c r="D91" s="76"/>
      <c r="E91" s="76">
        <v>476000</v>
      </c>
      <c r="F91" s="76"/>
      <c r="G91" s="76">
        <v>310740</v>
      </c>
      <c r="H91" s="76"/>
      <c r="I91" s="76">
        <f t="shared" si="3"/>
        <v>730175</v>
      </c>
      <c r="J91" s="244">
        <v>722736.5</v>
      </c>
      <c r="K91" s="122">
        <f t="shared" si="8"/>
        <v>7438.5</v>
      </c>
      <c r="L91" s="132">
        <f t="shared" si="7"/>
        <v>0.15932756818290789</v>
      </c>
      <c r="N91" s="149"/>
    </row>
    <row r="92" spans="1:14">
      <c r="A92" s="60">
        <v>291</v>
      </c>
      <c r="B92" s="54" t="s">
        <v>70</v>
      </c>
      <c r="C92" s="99">
        <v>6500</v>
      </c>
      <c r="D92" s="76">
        <v>2500</v>
      </c>
      <c r="E92" s="76"/>
      <c r="F92" s="76"/>
      <c r="G92" s="76"/>
      <c r="H92" s="76"/>
      <c r="I92" s="76">
        <f t="shared" si="3"/>
        <v>9000</v>
      </c>
      <c r="J92" s="244">
        <v>5959.9199999999992</v>
      </c>
      <c r="K92" s="122">
        <f t="shared" si="8"/>
        <v>3040.0800000000008</v>
      </c>
      <c r="L92" s="132">
        <f t="shared" si="7"/>
        <v>1.3138668936253754E-3</v>
      </c>
      <c r="N92" s="149"/>
    </row>
    <row r="93" spans="1:14">
      <c r="A93" s="60">
        <v>292</v>
      </c>
      <c r="B93" s="54" t="s">
        <v>71</v>
      </c>
      <c r="C93" s="99">
        <v>1300</v>
      </c>
      <c r="D93" s="76">
        <v>500</v>
      </c>
      <c r="E93" s="76"/>
      <c r="F93" s="76"/>
      <c r="G93" s="76"/>
      <c r="H93" s="76"/>
      <c r="I93" s="76">
        <f t="shared" si="3"/>
        <v>1800</v>
      </c>
      <c r="J93" s="244">
        <v>954.31</v>
      </c>
      <c r="K93" s="122">
        <f t="shared" si="8"/>
        <v>845.69</v>
      </c>
      <c r="L93" s="132">
        <f t="shared" si="7"/>
        <v>2.1037804454684494E-4</v>
      </c>
      <c r="N93" s="149"/>
    </row>
    <row r="94" spans="1:14">
      <c r="A94" s="60">
        <v>294</v>
      </c>
      <c r="B94" s="54" t="s">
        <v>72</v>
      </c>
      <c r="C94" s="99">
        <v>65000</v>
      </c>
      <c r="D94" s="98"/>
      <c r="E94" s="98"/>
      <c r="F94" s="76"/>
      <c r="G94" s="76"/>
      <c r="H94" s="76"/>
      <c r="I94" s="76">
        <f t="shared" si="3"/>
        <v>65000</v>
      </c>
      <c r="J94" s="244">
        <v>20725.95</v>
      </c>
      <c r="K94" s="122">
        <f t="shared" si="8"/>
        <v>44274.05</v>
      </c>
      <c r="L94" s="132">
        <f t="shared" si="7"/>
        <v>4.5690444744115452E-3</v>
      </c>
      <c r="N94" s="149"/>
    </row>
    <row r="95" spans="1:14">
      <c r="A95" s="60">
        <v>296</v>
      </c>
      <c r="B95" s="54" t="s">
        <v>114</v>
      </c>
      <c r="C95" s="99">
        <v>800</v>
      </c>
      <c r="D95" s="76"/>
      <c r="E95" s="76"/>
      <c r="F95" s="76"/>
      <c r="G95" s="76"/>
      <c r="H95" s="76"/>
      <c r="I95" s="76">
        <f>C95+D95-E95+F95-G95</f>
        <v>800</v>
      </c>
      <c r="J95" s="244">
        <v>0</v>
      </c>
      <c r="K95" s="122">
        <f t="shared" si="8"/>
        <v>800</v>
      </c>
      <c r="L95" s="132">
        <f t="shared" si="7"/>
        <v>0</v>
      </c>
      <c r="N95" s="149"/>
    </row>
    <row r="96" spans="1:14">
      <c r="A96" s="60">
        <v>297</v>
      </c>
      <c r="B96" s="54" t="s">
        <v>73</v>
      </c>
      <c r="C96" s="99">
        <v>800</v>
      </c>
      <c r="D96" s="76"/>
      <c r="E96" s="76"/>
      <c r="F96" s="76"/>
      <c r="G96" s="76"/>
      <c r="H96" s="76"/>
      <c r="I96" s="76">
        <f t="shared" si="3"/>
        <v>800</v>
      </c>
      <c r="J96" s="244">
        <v>45</v>
      </c>
      <c r="K96" s="122">
        <f t="shared" si="8"/>
        <v>755</v>
      </c>
      <c r="L96" s="132">
        <f t="shared" si="7"/>
        <v>9.9202690997768261E-6</v>
      </c>
      <c r="N96" s="149"/>
    </row>
    <row r="97" spans="1:14">
      <c r="A97" s="60">
        <v>298</v>
      </c>
      <c r="B97" s="54" t="s">
        <v>26</v>
      </c>
      <c r="C97" s="99">
        <v>20000</v>
      </c>
      <c r="D97" s="98"/>
      <c r="E97" s="98"/>
      <c r="F97" s="76"/>
      <c r="G97" s="76">
        <v>5000</v>
      </c>
      <c r="H97" s="76"/>
      <c r="I97" s="76">
        <f t="shared" si="3"/>
        <v>15000</v>
      </c>
      <c r="J97" s="244">
        <v>4988.9400000000005</v>
      </c>
      <c r="K97" s="122">
        <f t="shared" si="8"/>
        <v>10011.06</v>
      </c>
      <c r="L97" s="132">
        <f t="shared" si="7"/>
        <v>1.0998139405031246E-3</v>
      </c>
      <c r="N97" s="149"/>
    </row>
    <row r="98" spans="1:14">
      <c r="A98" s="60">
        <v>299</v>
      </c>
      <c r="B98" s="54" t="s">
        <v>74</v>
      </c>
      <c r="C98" s="99">
        <v>15000</v>
      </c>
      <c r="D98" s="98"/>
      <c r="E98" s="98"/>
      <c r="F98" s="76"/>
      <c r="G98" s="76"/>
      <c r="H98" s="76"/>
      <c r="I98" s="76">
        <f t="shared" si="3"/>
        <v>15000</v>
      </c>
      <c r="J98" s="244">
        <v>5363.31</v>
      </c>
      <c r="K98" s="122">
        <f t="shared" si="8"/>
        <v>9636.6899999999987</v>
      </c>
      <c r="L98" s="132">
        <f t="shared" si="7"/>
        <v>1.1823439659005347E-3</v>
      </c>
      <c r="N98" s="149"/>
    </row>
    <row r="99" spans="1:14">
      <c r="A99" s="60"/>
      <c r="B99" s="54"/>
      <c r="C99" s="99"/>
      <c r="D99" s="98"/>
      <c r="E99" s="98"/>
      <c r="F99" s="76"/>
      <c r="G99" s="76"/>
      <c r="H99" s="76"/>
      <c r="I99" s="76"/>
      <c r="J99" s="244"/>
      <c r="K99" s="122"/>
      <c r="L99" s="132"/>
      <c r="N99" s="149"/>
    </row>
    <row r="100" spans="1:14">
      <c r="A100" s="59">
        <v>3</v>
      </c>
      <c r="B100" s="59" t="s">
        <v>178</v>
      </c>
      <c r="C100" s="99"/>
      <c r="D100" s="76"/>
      <c r="E100" s="76"/>
      <c r="F100" s="76"/>
      <c r="G100" s="76"/>
      <c r="H100" s="76"/>
      <c r="I100" s="76"/>
      <c r="J100" s="248"/>
      <c r="K100" s="122"/>
      <c r="L100" s="132"/>
      <c r="N100" s="149"/>
    </row>
    <row r="101" spans="1:14">
      <c r="A101" s="60">
        <v>322</v>
      </c>
      <c r="B101" s="54" t="s">
        <v>88</v>
      </c>
      <c r="C101" s="99">
        <v>32000</v>
      </c>
      <c r="D101" s="76"/>
      <c r="E101" s="76"/>
      <c r="F101" s="76"/>
      <c r="G101" s="76"/>
      <c r="H101" s="76"/>
      <c r="I101" s="206">
        <f t="shared" si="3"/>
        <v>32000</v>
      </c>
      <c r="J101" s="244">
        <v>23544</v>
      </c>
      <c r="K101" s="122">
        <f t="shared" si="8"/>
        <v>8456</v>
      </c>
      <c r="L101" s="132">
        <f>J101/$J$116</f>
        <v>5.1902847930032359E-3</v>
      </c>
      <c r="N101" s="149"/>
    </row>
    <row r="102" spans="1:14">
      <c r="A102" s="60">
        <v>323</v>
      </c>
      <c r="B102" s="54" t="s">
        <v>140</v>
      </c>
      <c r="C102" s="99">
        <v>3000</v>
      </c>
      <c r="D102" s="76"/>
      <c r="E102" s="76"/>
      <c r="F102" s="76"/>
      <c r="G102" s="76"/>
      <c r="H102" s="76"/>
      <c r="I102" s="76">
        <f t="shared" si="3"/>
        <v>3000</v>
      </c>
      <c r="J102" s="244">
        <v>0</v>
      </c>
      <c r="K102" s="122">
        <f t="shared" si="8"/>
        <v>3000</v>
      </c>
      <c r="L102" s="132">
        <f>J102/$J$116</f>
        <v>0</v>
      </c>
      <c r="N102" s="149"/>
    </row>
    <row r="103" spans="1:14">
      <c r="A103" s="60">
        <v>324</v>
      </c>
      <c r="B103" s="54" t="s">
        <v>141</v>
      </c>
      <c r="C103" s="99">
        <v>116220</v>
      </c>
      <c r="D103" s="76"/>
      <c r="E103" s="76"/>
      <c r="F103" s="76"/>
      <c r="G103" s="76"/>
      <c r="H103" s="76"/>
      <c r="I103" s="76">
        <f t="shared" si="3"/>
        <v>116220</v>
      </c>
      <c r="J103" s="244">
        <v>11100</v>
      </c>
      <c r="K103" s="122">
        <f t="shared" si="8"/>
        <v>105120</v>
      </c>
      <c r="L103" s="132">
        <f>J103/$J$116</f>
        <v>2.4469997112782837E-3</v>
      </c>
      <c r="N103" s="149"/>
    </row>
    <row r="104" spans="1:14">
      <c r="A104" s="60">
        <v>328</v>
      </c>
      <c r="B104" s="54" t="s">
        <v>89</v>
      </c>
      <c r="C104" s="99">
        <v>18000</v>
      </c>
      <c r="D104" s="76"/>
      <c r="E104" s="76"/>
      <c r="F104" s="76"/>
      <c r="G104" s="76"/>
      <c r="H104" s="76"/>
      <c r="I104" s="76">
        <f t="shared" si="3"/>
        <v>18000</v>
      </c>
      <c r="J104" s="244">
        <v>11820</v>
      </c>
      <c r="K104" s="122">
        <f t="shared" si="8"/>
        <v>6180</v>
      </c>
      <c r="L104" s="132">
        <f>J104/$J$116</f>
        <v>2.6057240168747132E-3</v>
      </c>
      <c r="N104" s="149"/>
    </row>
    <row r="105" spans="1:14">
      <c r="A105" s="60">
        <v>329</v>
      </c>
      <c r="B105" s="54" t="s">
        <v>90</v>
      </c>
      <c r="C105" s="99">
        <v>8000</v>
      </c>
      <c r="D105" s="76">
        <v>5000</v>
      </c>
      <c r="E105" s="76"/>
      <c r="F105" s="76"/>
      <c r="G105" s="76"/>
      <c r="H105" s="76"/>
      <c r="I105" s="76">
        <f t="shared" si="3"/>
        <v>13000</v>
      </c>
      <c r="J105" s="244">
        <v>0</v>
      </c>
      <c r="K105" s="122">
        <f t="shared" si="8"/>
        <v>13000</v>
      </c>
      <c r="L105" s="132">
        <f>J105/$J$116</f>
        <v>0</v>
      </c>
      <c r="N105" s="149"/>
    </row>
    <row r="106" spans="1:14">
      <c r="A106" s="60"/>
      <c r="B106" s="54"/>
      <c r="C106" s="99"/>
      <c r="D106" s="76"/>
      <c r="E106" s="76"/>
      <c r="F106" s="76"/>
      <c r="G106" s="76"/>
      <c r="H106" s="76"/>
      <c r="I106" s="76"/>
      <c r="J106" s="244"/>
      <c r="K106" s="122"/>
      <c r="L106" s="132"/>
      <c r="N106" s="149"/>
    </row>
    <row r="107" spans="1:14">
      <c r="A107" s="60"/>
      <c r="B107" s="54"/>
      <c r="C107" s="99"/>
      <c r="D107" s="76"/>
      <c r="E107" s="76"/>
      <c r="F107" s="76"/>
      <c r="G107" s="76"/>
      <c r="H107" s="76"/>
      <c r="I107" s="76"/>
      <c r="J107" s="244"/>
      <c r="K107" s="122"/>
      <c r="L107" s="132"/>
      <c r="N107" s="149"/>
    </row>
    <row r="108" spans="1:14">
      <c r="A108" s="59"/>
      <c r="B108" s="59"/>
      <c r="C108" s="99"/>
      <c r="D108" s="76"/>
      <c r="E108" s="76"/>
      <c r="F108" s="76"/>
      <c r="G108" s="76"/>
      <c r="H108" s="76"/>
      <c r="I108" s="76"/>
      <c r="J108" s="244"/>
      <c r="K108" s="122"/>
      <c r="L108" s="132"/>
      <c r="N108" s="149"/>
    </row>
    <row r="109" spans="1:14">
      <c r="A109" s="59">
        <v>4</v>
      </c>
      <c r="B109" s="59" t="s">
        <v>13</v>
      </c>
      <c r="C109" s="99"/>
      <c r="D109" s="76"/>
      <c r="E109" s="76"/>
      <c r="F109" s="76"/>
      <c r="G109" s="76"/>
      <c r="H109" s="76"/>
      <c r="I109" s="76"/>
      <c r="J109" s="244"/>
      <c r="K109" s="122"/>
      <c r="L109" s="132"/>
      <c r="N109" s="149"/>
    </row>
    <row r="110" spans="1:14">
      <c r="A110" s="61">
        <v>413</v>
      </c>
      <c r="B110" s="62" t="s">
        <v>77</v>
      </c>
      <c r="C110" s="99">
        <v>46000</v>
      </c>
      <c r="D110" s="76"/>
      <c r="E110" s="76"/>
      <c r="F110" s="76"/>
      <c r="G110" s="76"/>
      <c r="H110" s="76"/>
      <c r="I110" s="76">
        <f t="shared" ref="I110:I114" si="9">C110+D110-E110+F110-G110</f>
        <v>46000</v>
      </c>
      <c r="J110" s="244">
        <v>0</v>
      </c>
      <c r="K110" s="122">
        <f t="shared" ref="K110:K114" si="10">I110-J110</f>
        <v>46000</v>
      </c>
      <c r="L110" s="132">
        <f>J110/$J$116</f>
        <v>0</v>
      </c>
      <c r="N110" s="149"/>
    </row>
    <row r="111" spans="1:14">
      <c r="A111" s="61">
        <v>415</v>
      </c>
      <c r="B111" s="62" t="s">
        <v>78</v>
      </c>
      <c r="C111" s="99">
        <v>30100</v>
      </c>
      <c r="D111" s="76"/>
      <c r="E111" s="76"/>
      <c r="F111" s="76"/>
      <c r="G111" s="76"/>
      <c r="H111" s="76"/>
      <c r="I111" s="76">
        <f t="shared" si="9"/>
        <v>30100</v>
      </c>
      <c r="J111" s="244">
        <v>0</v>
      </c>
      <c r="K111" s="122">
        <f t="shared" si="10"/>
        <v>30100</v>
      </c>
      <c r="L111" s="132">
        <f>J111/$J$116</f>
        <v>0</v>
      </c>
      <c r="N111" s="149"/>
    </row>
    <row r="112" spans="1:14">
      <c r="A112" s="61">
        <v>419</v>
      </c>
      <c r="B112" s="62" t="s">
        <v>79</v>
      </c>
      <c r="C112" s="99">
        <v>19200</v>
      </c>
      <c r="D112" s="76"/>
      <c r="E112" s="76"/>
      <c r="F112" s="76"/>
      <c r="G112" s="76"/>
      <c r="H112" s="76"/>
      <c r="I112" s="76">
        <f t="shared" si="9"/>
        <v>19200</v>
      </c>
      <c r="J112" s="244">
        <v>3200</v>
      </c>
      <c r="K112" s="122">
        <f t="shared" si="10"/>
        <v>16000</v>
      </c>
      <c r="L112" s="132">
        <f>J112/$J$116</f>
        <v>7.0544135820635207E-4</v>
      </c>
      <c r="N112" s="149"/>
    </row>
    <row r="113" spans="1:14">
      <c r="A113" s="61">
        <v>453</v>
      </c>
      <c r="B113" s="62" t="s">
        <v>80</v>
      </c>
      <c r="C113" s="99">
        <v>120000</v>
      </c>
      <c r="D113" s="76"/>
      <c r="E113" s="76"/>
      <c r="F113" s="76">
        <v>105000</v>
      </c>
      <c r="G113" s="76"/>
      <c r="H113" s="76"/>
      <c r="I113" s="76">
        <f>C113+D113-E113+F113-G113</f>
        <v>225000</v>
      </c>
      <c r="J113" s="244">
        <v>163021.61000000002</v>
      </c>
      <c r="K113" s="122">
        <f t="shared" si="10"/>
        <v>61978.389999999985</v>
      </c>
      <c r="L113" s="132">
        <f>J113/$J$116</f>
        <v>3.5938183117308203E-2</v>
      </c>
      <c r="N113" s="149"/>
    </row>
    <row r="114" spans="1:14">
      <c r="A114" s="61">
        <v>472</v>
      </c>
      <c r="B114" s="62" t="s">
        <v>118</v>
      </c>
      <c r="C114" s="99">
        <v>4000</v>
      </c>
      <c r="D114" s="76"/>
      <c r="E114" s="76"/>
      <c r="F114" s="76"/>
      <c r="G114" s="76"/>
      <c r="H114" s="76"/>
      <c r="I114" s="76">
        <f t="shared" si="9"/>
        <v>4000</v>
      </c>
      <c r="J114" s="244">
        <v>2089.9</v>
      </c>
      <c r="K114" s="122">
        <f t="shared" si="10"/>
        <v>1910.1</v>
      </c>
      <c r="L114" s="132">
        <f>J114/$J$116</f>
        <v>4.607193420360798E-4</v>
      </c>
      <c r="N114" s="149"/>
    </row>
    <row r="115" spans="1:14" ht="20.25" customHeight="1" thickBot="1">
      <c r="A115" s="56"/>
      <c r="B115" s="160"/>
      <c r="C115" s="229"/>
      <c r="D115" s="76"/>
      <c r="E115" s="76"/>
      <c r="F115" s="101"/>
      <c r="G115" s="101"/>
      <c r="H115" s="101"/>
      <c r="I115" s="52"/>
      <c r="J115" s="249"/>
      <c r="K115" s="125"/>
      <c r="L115" s="132"/>
    </row>
    <row r="116" spans="1:14" ht="20.25" customHeight="1" thickBot="1">
      <c r="A116" s="162"/>
      <c r="B116" s="19" t="s">
        <v>7</v>
      </c>
      <c r="C116" s="63">
        <f>SUM(C23:C115)</f>
        <v>6176079.2063746657</v>
      </c>
      <c r="D116" s="11">
        <f>SUM(D23:D115)</f>
        <v>833550</v>
      </c>
      <c r="E116" s="11">
        <f>SUM(E23:E115)</f>
        <v>833550</v>
      </c>
      <c r="F116" s="11">
        <f t="shared" ref="F116:K116" si="11">SUM(F23:F115)</f>
        <v>776500</v>
      </c>
      <c r="G116" s="11">
        <f t="shared" si="11"/>
        <v>776500</v>
      </c>
      <c r="H116" s="11">
        <f t="shared" si="11"/>
        <v>0</v>
      </c>
      <c r="I116" s="11">
        <f t="shared" si="11"/>
        <v>6176079.2063746676</v>
      </c>
      <c r="J116" s="250">
        <f>ROUND((SUM(J23:J115)),2)</f>
        <v>4536167.2699999996</v>
      </c>
      <c r="K116" s="11">
        <f t="shared" si="11"/>
        <v>1639911.9363746669</v>
      </c>
      <c r="L116" s="163">
        <f>J116/J116</f>
        <v>1</v>
      </c>
    </row>
    <row r="117" spans="1:14" ht="20.25" customHeight="1">
      <c r="A117" s="164"/>
      <c r="B117" s="36"/>
      <c r="C117" s="64"/>
      <c r="D117" s="37"/>
      <c r="E117" s="37"/>
      <c r="F117" s="37"/>
      <c r="G117" s="64"/>
      <c r="H117" s="37"/>
      <c r="I117" s="37"/>
      <c r="J117" s="251"/>
      <c r="K117" s="37"/>
      <c r="L117" s="39"/>
    </row>
    <row r="118" spans="1:14" ht="20.25" customHeight="1" thickBot="1">
      <c r="A118" s="164"/>
      <c r="B118" s="36"/>
      <c r="C118" s="64"/>
      <c r="D118" s="37"/>
      <c r="E118" s="37"/>
      <c r="F118" s="37"/>
      <c r="G118" s="37"/>
      <c r="H118" s="37"/>
      <c r="I118" s="37"/>
      <c r="J118" s="251"/>
      <c r="K118" s="37"/>
      <c r="L118" s="39"/>
    </row>
    <row r="119" spans="1:14" s="35" customFormat="1">
      <c r="A119" s="81" t="s">
        <v>8</v>
      </c>
      <c r="B119" s="81"/>
      <c r="C119" s="230"/>
      <c r="D119" s="32"/>
      <c r="E119" s="32"/>
      <c r="F119" s="96"/>
      <c r="G119" s="96"/>
      <c r="H119" s="96"/>
      <c r="I119" s="42"/>
      <c r="J119" s="252"/>
      <c r="K119" s="33"/>
      <c r="L119" s="34"/>
    </row>
    <row r="120" spans="1:14" s="35" customFormat="1">
      <c r="A120" s="84" t="s">
        <v>0</v>
      </c>
      <c r="B120" s="84"/>
      <c r="C120" s="231"/>
      <c r="D120" s="32"/>
      <c r="E120" s="32"/>
      <c r="F120" s="96"/>
      <c r="G120" s="96"/>
      <c r="H120" s="96"/>
      <c r="I120" s="42"/>
      <c r="J120" s="252"/>
      <c r="K120" s="33"/>
      <c r="L120" s="34"/>
    </row>
    <row r="121" spans="1:14" s="35" customFormat="1" ht="12" customHeight="1" thickBot="1">
      <c r="A121" s="84"/>
      <c r="B121" s="84"/>
      <c r="C121" s="231"/>
      <c r="D121" s="32"/>
      <c r="E121" s="32"/>
      <c r="F121" s="96"/>
      <c r="G121" s="96"/>
      <c r="H121" s="96"/>
      <c r="I121" s="42"/>
      <c r="J121" s="252"/>
      <c r="K121" s="33"/>
      <c r="L121" s="34"/>
    </row>
    <row r="122" spans="1:14" s="35" customFormat="1">
      <c r="A122" s="90" t="s">
        <v>121</v>
      </c>
      <c r="B122" s="85"/>
      <c r="C122" s="238"/>
      <c r="D122" s="32"/>
      <c r="E122" s="32"/>
      <c r="G122" s="96"/>
      <c r="H122" s="96"/>
      <c r="I122" s="42"/>
      <c r="J122" s="252"/>
      <c r="K122" s="33"/>
      <c r="L122" s="34"/>
    </row>
    <row r="123" spans="1:14" s="35" customFormat="1">
      <c r="A123" s="91" t="s">
        <v>131</v>
      </c>
      <c r="B123" s="83"/>
      <c r="C123" s="168">
        <v>1077959.21</v>
      </c>
      <c r="D123" s="32"/>
      <c r="E123" s="169"/>
      <c r="G123" s="96"/>
      <c r="H123" s="96"/>
      <c r="I123" s="42"/>
      <c r="J123" s="252"/>
      <c r="K123" s="33"/>
      <c r="L123" s="34"/>
    </row>
    <row r="124" spans="1:14" s="35" customFormat="1">
      <c r="A124" s="91" t="s">
        <v>81</v>
      </c>
      <c r="B124" s="83"/>
      <c r="C124" s="168">
        <f>J19</f>
        <v>3971794.79</v>
      </c>
      <c r="D124" s="32"/>
      <c r="E124" s="169"/>
      <c r="G124" s="96"/>
      <c r="H124" s="220"/>
      <c r="I124" s="42"/>
      <c r="J124" s="252"/>
      <c r="K124" s="33"/>
      <c r="L124" s="34"/>
    </row>
    <row r="125" spans="1:14" s="35" customFormat="1">
      <c r="A125" s="91" t="s">
        <v>94</v>
      </c>
      <c r="B125" s="83"/>
      <c r="C125" s="109">
        <f>-J116</f>
        <v>-4536167.2699999996</v>
      </c>
      <c r="D125" s="32"/>
      <c r="E125" s="169"/>
      <c r="G125" s="96"/>
      <c r="H125" s="96"/>
      <c r="I125" s="42"/>
      <c r="J125" s="252"/>
      <c r="K125" s="33"/>
      <c r="L125" s="34"/>
    </row>
    <row r="126" spans="1:14" s="35" customFormat="1">
      <c r="A126" s="93" t="s">
        <v>120</v>
      </c>
      <c r="B126" s="83"/>
      <c r="C126" s="255">
        <f>SUM(C123:C125)</f>
        <v>513586.73000000045</v>
      </c>
      <c r="D126" s="171"/>
      <c r="E126" s="169"/>
      <c r="G126" s="96"/>
      <c r="H126" s="96"/>
      <c r="I126" s="42"/>
      <c r="J126" s="252"/>
      <c r="K126" s="33"/>
      <c r="L126" s="34"/>
    </row>
    <row r="127" spans="1:14" s="35" customFormat="1">
      <c r="A127" s="92" t="s">
        <v>122</v>
      </c>
      <c r="B127" s="82"/>
      <c r="C127" s="168"/>
      <c r="D127" s="32"/>
      <c r="E127" s="32"/>
      <c r="G127" s="118"/>
      <c r="H127" s="96"/>
      <c r="I127" s="42"/>
      <c r="J127" s="252"/>
      <c r="K127" s="33"/>
      <c r="L127" s="34"/>
    </row>
    <row r="128" spans="1:14" s="35" customFormat="1">
      <c r="A128" s="91"/>
      <c r="B128" s="83"/>
      <c r="C128" s="168">
        <v>0</v>
      </c>
      <c r="D128" s="32"/>
      <c r="E128" s="32"/>
      <c r="G128" s="118"/>
      <c r="H128" s="96"/>
      <c r="I128" s="42"/>
      <c r="J128" s="252"/>
      <c r="K128" s="33"/>
      <c r="L128" s="34"/>
    </row>
    <row r="129" spans="1:12" s="35" customFormat="1" ht="6.95" customHeight="1">
      <c r="A129" s="91"/>
      <c r="B129" s="83"/>
      <c r="C129" s="109"/>
      <c r="D129" s="32"/>
      <c r="E129" s="95"/>
      <c r="G129" s="118"/>
      <c r="H129" s="96"/>
      <c r="I129" s="42"/>
      <c r="J129" s="252"/>
      <c r="K129" s="33"/>
      <c r="L129" s="34"/>
    </row>
    <row r="130" spans="1:12" s="35" customFormat="1">
      <c r="A130" s="91"/>
      <c r="B130" s="83"/>
      <c r="C130" s="172">
        <f>SUM(C128:C129)</f>
        <v>0</v>
      </c>
      <c r="D130" s="32"/>
      <c r="E130" s="32"/>
      <c r="G130" s="118"/>
      <c r="H130" s="96"/>
      <c r="I130" s="42"/>
      <c r="J130" s="252"/>
      <c r="K130" s="33"/>
      <c r="L130" s="34"/>
    </row>
    <row r="131" spans="1:12" s="35" customFormat="1" ht="6.95" customHeight="1">
      <c r="A131" s="91"/>
      <c r="B131" s="83"/>
      <c r="C131" s="109"/>
      <c r="D131" s="32"/>
      <c r="E131" s="32"/>
      <c r="G131" s="96"/>
      <c r="H131" s="96"/>
      <c r="I131" s="42"/>
      <c r="J131" s="252"/>
      <c r="K131" s="33"/>
      <c r="L131" s="34"/>
    </row>
    <row r="132" spans="1:12" s="35" customFormat="1" ht="6.95" customHeight="1">
      <c r="A132" s="91"/>
      <c r="B132" s="83"/>
      <c r="C132" s="168"/>
      <c r="D132" s="32"/>
      <c r="E132" s="32"/>
      <c r="G132" s="96"/>
      <c r="H132" s="96"/>
      <c r="I132" s="42"/>
      <c r="J132" s="252"/>
      <c r="K132" s="33"/>
      <c r="L132" s="34"/>
    </row>
    <row r="133" spans="1:12" s="35" customFormat="1">
      <c r="A133" s="93" t="s">
        <v>180</v>
      </c>
      <c r="B133" s="88"/>
      <c r="C133" s="109">
        <f>C126+C130</f>
        <v>513586.73000000045</v>
      </c>
      <c r="D133" s="174"/>
      <c r="G133" s="96"/>
      <c r="H133" s="96"/>
      <c r="I133" s="42"/>
      <c r="J133" s="252"/>
      <c r="K133" s="33"/>
      <c r="L133" s="34"/>
    </row>
    <row r="134" spans="1:12" s="35" customFormat="1" ht="6.95" customHeight="1" thickBot="1">
      <c r="A134" s="94"/>
      <c r="B134" s="87"/>
      <c r="C134" s="239"/>
      <c r="D134" s="174"/>
      <c r="G134" s="96"/>
      <c r="H134" s="96"/>
      <c r="I134" s="42"/>
      <c r="J134" s="252"/>
      <c r="K134" s="33"/>
      <c r="L134" s="34"/>
    </row>
    <row r="135" spans="1:12">
      <c r="A135" s="43"/>
      <c r="C135" s="240"/>
      <c r="D135" s="174"/>
      <c r="G135" s="102"/>
      <c r="H135" s="102"/>
      <c r="I135" s="102"/>
      <c r="K135" s="102"/>
      <c r="L135" s="102"/>
    </row>
    <row r="136" spans="1:12">
      <c r="A136" s="43"/>
      <c r="B136" s="43"/>
      <c r="C136" s="241"/>
      <c r="D136" s="174"/>
      <c r="G136" s="102"/>
      <c r="H136" s="102"/>
      <c r="I136" s="102"/>
      <c r="K136" s="102"/>
      <c r="L136" s="102"/>
    </row>
    <row r="137" spans="1:12">
      <c r="A137" s="36"/>
      <c r="B137" s="178" t="s">
        <v>181</v>
      </c>
      <c r="C137" s="242"/>
      <c r="D137" s="174"/>
      <c r="E137" s="95"/>
      <c r="G137" s="102"/>
      <c r="I137" s="102"/>
      <c r="K137" s="102"/>
      <c r="L137" s="102"/>
    </row>
    <row r="138" spans="1:12">
      <c r="A138" s="36"/>
      <c r="B138" s="43"/>
      <c r="C138" s="232"/>
      <c r="D138" s="174"/>
      <c r="E138" s="102"/>
      <c r="F138" s="102"/>
      <c r="G138" s="102"/>
      <c r="H138" s="102"/>
      <c r="I138" s="102"/>
      <c r="K138" s="102"/>
      <c r="L138" s="102"/>
    </row>
    <row r="139" spans="1:12">
      <c r="A139" s="36"/>
      <c r="B139" s="43"/>
      <c r="C139" s="232"/>
      <c r="D139" s="174"/>
      <c r="E139" s="102"/>
      <c r="F139" s="102"/>
      <c r="G139" s="102"/>
      <c r="H139" s="102"/>
      <c r="I139" s="102"/>
      <c r="K139" s="102"/>
      <c r="L139" s="102"/>
    </row>
    <row r="140" spans="1:12">
      <c r="A140" s="36"/>
      <c r="B140" s="43"/>
      <c r="D140" s="174"/>
      <c r="E140" s="102"/>
      <c r="F140" s="102"/>
      <c r="G140" s="102"/>
      <c r="H140" s="102"/>
      <c r="I140" s="102"/>
      <c r="K140" s="102"/>
      <c r="L140" s="102"/>
    </row>
    <row r="141" spans="1:12">
      <c r="A141" s="36"/>
      <c r="B141" s="43"/>
      <c r="E141" s="102"/>
      <c r="F141" s="102"/>
      <c r="G141" s="102"/>
      <c r="H141" s="102"/>
      <c r="I141" s="102"/>
      <c r="K141" s="102"/>
      <c r="L141" s="102"/>
    </row>
    <row r="142" spans="1:12">
      <c r="A142" s="164"/>
      <c r="B142" s="43"/>
      <c r="C142" s="234"/>
      <c r="D142" s="42"/>
      <c r="E142" s="95"/>
      <c r="F142" s="95"/>
      <c r="G142" s="102"/>
      <c r="H142" s="102"/>
      <c r="I142" s="102"/>
      <c r="K142" s="102"/>
      <c r="L142" s="102"/>
    </row>
    <row r="143" spans="1:12">
      <c r="A143" s="164"/>
      <c r="B143" s="102"/>
      <c r="C143" s="235"/>
      <c r="D143" s="102"/>
      <c r="E143" s="95"/>
      <c r="F143" s="95"/>
      <c r="G143" s="102"/>
      <c r="H143" s="102"/>
      <c r="I143" s="102"/>
      <c r="K143" s="102"/>
      <c r="L143" s="102"/>
    </row>
    <row r="144" spans="1:12" ht="18.75">
      <c r="A144" s="164"/>
      <c r="B144" s="103" t="s">
        <v>152</v>
      </c>
      <c r="C144" s="236" t="s">
        <v>153</v>
      </c>
      <c r="E144" s="103"/>
      <c r="F144" s="103"/>
      <c r="G144" s="182" t="s">
        <v>156</v>
      </c>
      <c r="J144" s="254"/>
      <c r="K144" s="126"/>
      <c r="L144" s="103"/>
    </row>
    <row r="145" spans="1:12" ht="18.75">
      <c r="A145" s="164"/>
      <c r="B145" s="183" t="s">
        <v>154</v>
      </c>
      <c r="C145" s="237" t="s">
        <v>155</v>
      </c>
      <c r="E145" s="104"/>
      <c r="F145" s="145"/>
      <c r="G145" s="184" t="s">
        <v>148</v>
      </c>
      <c r="J145" s="254"/>
      <c r="K145" s="104"/>
      <c r="L145" s="104"/>
    </row>
    <row r="146" spans="1:12" ht="18.75">
      <c r="A146" s="164"/>
      <c r="B146" s="104"/>
      <c r="D146" s="126"/>
      <c r="E146" s="104"/>
      <c r="F146" s="104"/>
      <c r="G146" s="104"/>
      <c r="H146" s="104"/>
      <c r="I146" s="185"/>
      <c r="J146" s="254"/>
      <c r="K146" s="104"/>
      <c r="L146" s="104"/>
    </row>
    <row r="147" spans="1:12" ht="18.75">
      <c r="A147" s="164"/>
      <c r="B147" s="104"/>
      <c r="D147" s="104"/>
      <c r="F147" s="104"/>
      <c r="G147" s="104"/>
      <c r="H147" s="104"/>
      <c r="I147" s="104"/>
      <c r="J147" s="254"/>
      <c r="L147" s="104"/>
    </row>
  </sheetData>
  <mergeCells count="3">
    <mergeCell ref="A6:A7"/>
    <mergeCell ref="B6:B7"/>
    <mergeCell ref="J6:J7"/>
  </mergeCells>
  <printOptions horizontalCentered="1"/>
  <pageMargins left="0.39370078740157483" right="0.39370078740157483" top="0.78740157480314965" bottom="0.98425196850393704" header="0.31496062992125984" footer="0.31496062992125984"/>
  <pageSetup scale="55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24</vt:i4>
      </vt:variant>
    </vt:vector>
  </HeadingPairs>
  <TitlesOfParts>
    <vt:vector size="36" baseType="lpstr">
      <vt:lpstr>ENERO</vt:lpstr>
      <vt:lpstr>FEBRERO</vt:lpstr>
      <vt:lpstr>MARZO</vt:lpstr>
      <vt:lpstr>ABRIL</vt:lpstr>
      <vt:lpstr>MAYO</vt:lpstr>
      <vt:lpstr>JUNIO </vt:lpstr>
      <vt:lpstr>JULIO</vt:lpstr>
      <vt:lpstr>AGOSTO</vt:lpstr>
      <vt:lpstr>SEPTIEMBRE</vt:lpstr>
      <vt:lpstr>OCTUBRE</vt:lpstr>
      <vt:lpstr>NOVIEMBRE</vt:lpstr>
      <vt:lpstr>DICIEMBRE</vt:lpstr>
      <vt:lpstr>ABRIL!Área_de_impresión</vt:lpstr>
      <vt:lpstr>AGOSTO!Área_de_impresión</vt:lpstr>
      <vt:lpstr>DICIEMBRE!Área_de_impresión</vt:lpstr>
      <vt:lpstr>ENERO!Área_de_impresión</vt:lpstr>
      <vt:lpstr>FEBRERO!Área_de_impresión</vt:lpstr>
      <vt:lpstr>JULIO!Área_de_impresión</vt:lpstr>
      <vt:lpstr>'JUNIO '!Área_de_impresión</vt:lpstr>
      <vt:lpstr>MARZO!Área_de_impresión</vt:lpstr>
      <vt:lpstr>MAYO!Área_de_impresión</vt:lpstr>
      <vt:lpstr>NOVIEMBRE!Área_de_impresión</vt:lpstr>
      <vt:lpstr>OCTUBRE!Área_de_impresión</vt:lpstr>
      <vt:lpstr>SEPTIEMBRE!Área_de_impresión</vt:lpstr>
      <vt:lpstr>ABRIL!Títulos_a_imprimir</vt:lpstr>
      <vt:lpstr>AGOSTO!Títulos_a_imprimir</vt:lpstr>
      <vt:lpstr>DICIEMBRE!Títulos_a_imprimir</vt:lpstr>
      <vt:lpstr>ENERO!Títulos_a_imprimir</vt:lpstr>
      <vt:lpstr>FEBRERO!Títulos_a_imprimir</vt:lpstr>
      <vt:lpstr>JULIO!Títulos_a_imprimir</vt:lpstr>
      <vt:lpstr>'JUNIO '!Títulos_a_imprimir</vt:lpstr>
      <vt:lpstr>MARZO!Títulos_a_imprimir</vt:lpstr>
      <vt:lpstr>MAYO!Títulos_a_imprimir</vt:lpstr>
      <vt:lpstr>NOVIEMBRE!Títulos_a_imprimir</vt:lpstr>
      <vt:lpstr>OCTUBRE!Títulos_a_imprimir</vt:lpstr>
      <vt:lpstr>SEPTIEMBRE!Títulos_a_imprimir</vt:lpstr>
    </vt:vector>
  </TitlesOfParts>
  <Company>confede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jgiron</dc:creator>
  <cp:lastModifiedBy>Vivi</cp:lastModifiedBy>
  <cp:lastPrinted>2016-01-12T19:21:09Z</cp:lastPrinted>
  <dcterms:created xsi:type="dcterms:W3CDTF">2006-09-12T14:17:56Z</dcterms:created>
  <dcterms:modified xsi:type="dcterms:W3CDTF">2017-03-01T17:32:37Z</dcterms:modified>
</cp:coreProperties>
</file>